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727"/>
  <workbookPr codeName="ЭтаКнига"/>
  <mc:AlternateContent xmlns:mc="http://schemas.openxmlformats.org/markup-compatibility/2006">
    <mc:Choice Requires="x15">
      <x15ac:absPath xmlns:x15ac="http://schemas.microsoft.com/office/spreadsheetml/2010/11/ac" url="Z:\До сесiї\прийняті рішення\"/>
    </mc:Choice>
  </mc:AlternateContent>
  <xr:revisionPtr revIDLastSave="0" documentId="8_{31D3FD57-DA2C-4C9E-AC44-DADCE5D38BC0}" xr6:coauthVersionLast="43" xr6:coauthVersionMax="43" xr10:uidLastSave="{00000000-0000-0000-0000-000000000000}"/>
  <bookViews>
    <workbookView xWindow="-120" yWindow="-120" windowWidth="29040" windowHeight="15840" tabRatio="872" activeTab="10"/>
  </bookViews>
  <sheets>
    <sheet name="дод1" sheetId="27" r:id="rId1"/>
    <sheet name="дод1.1" sheetId="32" r:id="rId2"/>
    <sheet name="дод 1.2" sheetId="29" r:id="rId3"/>
    <sheet name="дод1.3" sheetId="37" r:id="rId4"/>
    <sheet name="дод2" sheetId="20" r:id="rId5"/>
    <sheet name="дод3" sheetId="1" r:id="rId6"/>
    <sheet name="дод5" sheetId="12" r:id="rId7"/>
    <sheet name=" дод 5_1" sheetId="24" r:id="rId8"/>
    <sheet name="дод5.3" sheetId="31" r:id="rId9"/>
    <sheet name="дод6" sheetId="15" r:id="rId10"/>
    <sheet name="дод7" sheetId="22" r:id="rId11"/>
  </sheets>
  <externalReferences>
    <externalReference r:id="rId12"/>
    <externalReference r:id="rId13"/>
  </externalReferences>
  <definedNames>
    <definedName name="_xlnm._FilterDatabase" localSheetId="7" hidden="1">' дод 5_1'!$I$1:$I$4316</definedName>
    <definedName name="_xlnm._FilterDatabase" localSheetId="2" hidden="1">'дод 1.2'!$A$7:$AP$2019</definedName>
    <definedName name="_xlnm._FilterDatabase" localSheetId="0" hidden="1">дод1!$G$1:$G$204</definedName>
    <definedName name="_xlnm._FilterDatabase" localSheetId="1" hidden="1">'дод1.1'!$A$1:$AL$171</definedName>
    <definedName name="_xlnm._FilterDatabase" localSheetId="3" hidden="1">'дод1.3'!$I$1:$I$52</definedName>
    <definedName name="_xlnm._FilterDatabase" localSheetId="5" hidden="1">дод3!$R$1:$R$308</definedName>
    <definedName name="_xlnm._FilterDatabase" localSheetId="9" hidden="1">дод6!$K$1:$K$246</definedName>
    <definedName name="_xlnm._FilterDatabase" localSheetId="10" hidden="1">дод7!$A$1:$L$346</definedName>
    <definedName name="_xlnm.Print_Titles" localSheetId="7">' дод 5_1'!$A:$A,' дод 5_1'!$6:$7</definedName>
    <definedName name="_xlnm.Print_Titles" localSheetId="2">'дод 1.2'!$A:$A,'дод 1.2'!$6:$7</definedName>
    <definedName name="_xlnm.Print_Titles" localSheetId="0">дод1!$6:$8</definedName>
    <definedName name="_xlnm.Print_Titles" localSheetId="1">'дод1.1'!$A:$A,'дод1.1'!$6:$7</definedName>
    <definedName name="_xlnm.Print_Titles" localSheetId="3">'дод1.3'!$A:$A,'дод1.3'!$6:$7</definedName>
    <definedName name="_xlnm.Print_Titles" localSheetId="4">дод2!$7:$9</definedName>
    <definedName name="_xlnm.Print_Titles" localSheetId="5">дод3!$7:$13</definedName>
    <definedName name="_xlnm.Print_Titles" localSheetId="6">дод5!$B:$B,дод5!$7:$17</definedName>
    <definedName name="_xlnm.Print_Titles" localSheetId="8">'дод5.3'!$6:$6</definedName>
    <definedName name="_xlnm.Print_Titles" localSheetId="9">дод6!$7:$8</definedName>
    <definedName name="_xlnm.Print_Titles" localSheetId="10">дод7!$7:$8</definedName>
    <definedName name="_xlnm.Print_Area" localSheetId="7">' дод 5_1'!$A$1:$E$4294</definedName>
    <definedName name="_xlnm.Print_Area" localSheetId="2">'дод 1.2'!$A$1:$E$2010</definedName>
    <definedName name="_xlnm.Print_Area" localSheetId="0">дод1!$A$1:$F$155</definedName>
    <definedName name="_xlnm.Print_Area" localSheetId="1">'дод1.1'!$A$1:$E$163</definedName>
    <definedName name="_xlnm.Print_Area" localSheetId="3">'дод1.3'!$A$1:$E$46</definedName>
    <definedName name="_xlnm.Print_Area" localSheetId="4">дод2!$A$1:$G$31</definedName>
    <definedName name="_xlnm.Print_Area" localSheetId="5">дод3!$A$1:$Q$255</definedName>
    <definedName name="_xlnm.Print_Area" localSheetId="6">дод5!$A$1:$CI$121</definedName>
    <definedName name="_xlnm.Print_Area" localSheetId="8">'дод5.3'!$A$1:$E$108</definedName>
    <definedName name="_xlnm.Print_Area" localSheetId="9">дод6!$A$1:$I$143</definedName>
    <definedName name="_xlnm.Print_Area" localSheetId="10">дод7!$A$1:$J$315</definedName>
  </definedNames>
  <calcPr calcId="18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U18" i="12" l="1"/>
  <c r="CU19" i="12"/>
  <c r="CU20" i="12"/>
  <c r="CU21" i="12"/>
  <c r="CU22" i="12"/>
  <c r="CU23" i="12"/>
  <c r="CU25" i="12"/>
  <c r="CU26" i="12"/>
  <c r="CU31" i="12"/>
  <c r="CU33" i="12"/>
  <c r="CU36" i="12"/>
  <c r="CU37" i="12"/>
  <c r="CU38" i="12"/>
  <c r="CU42" i="12"/>
  <c r="CU43" i="12"/>
  <c r="CU44" i="12"/>
  <c r="CU45" i="12"/>
  <c r="CU46" i="12"/>
  <c r="CU48" i="12"/>
  <c r="CU50" i="12"/>
  <c r="CU52" i="12"/>
  <c r="CU53" i="12"/>
  <c r="CU55" i="12"/>
  <c r="CU56" i="12"/>
  <c r="CU58" i="12"/>
  <c r="CU59" i="12"/>
  <c r="CU61" i="12"/>
  <c r="CU62" i="12"/>
  <c r="CU63" i="12"/>
  <c r="CU65" i="12"/>
  <c r="CU66" i="12"/>
  <c r="CU67" i="12"/>
  <c r="CU68" i="12"/>
  <c r="CU70" i="12"/>
  <c r="CU71" i="12"/>
  <c r="CU73" i="12"/>
  <c r="CU74" i="12"/>
  <c r="CU75" i="12"/>
  <c r="CU78" i="12"/>
  <c r="CU79" i="12"/>
  <c r="CU81" i="12"/>
  <c r="CU82" i="12"/>
  <c r="CU83" i="12"/>
  <c r="CU84" i="12"/>
  <c r="CU86" i="12"/>
  <c r="CU87" i="12"/>
  <c r="CU88" i="12"/>
  <c r="CU90" i="12"/>
  <c r="CU91" i="12"/>
  <c r="CU93" i="12"/>
  <c r="CU96" i="12"/>
  <c r="CU98" i="12"/>
  <c r="CU102" i="12"/>
  <c r="CU103" i="12"/>
  <c r="CU104" i="12"/>
  <c r="CU107" i="12"/>
  <c r="CU108" i="12"/>
  <c r="CU111" i="12"/>
  <c r="CU112" i="12"/>
  <c r="CU115" i="12"/>
  <c r="CU116" i="12"/>
  <c r="CU117" i="12"/>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I64" i="24"/>
  <c r="I65" i="24"/>
  <c r="I66" i="24"/>
  <c r="I67" i="24"/>
  <c r="I68" i="24"/>
  <c r="I69" i="24"/>
  <c r="I70" i="24"/>
  <c r="I71" i="24"/>
  <c r="I72" i="24"/>
  <c r="I73" i="24"/>
  <c r="I74" i="24"/>
  <c r="I75" i="24"/>
  <c r="I76" i="24"/>
  <c r="I77" i="24"/>
  <c r="I78" i="24"/>
  <c r="I79" i="24"/>
  <c r="I80" i="24"/>
  <c r="I81" i="24"/>
  <c r="I82" i="24"/>
  <c r="I83" i="24"/>
  <c r="I84" i="24"/>
  <c r="I85" i="24"/>
  <c r="I86" i="24"/>
  <c r="I87" i="24"/>
  <c r="I88" i="24"/>
  <c r="I89" i="24"/>
  <c r="I90" i="24"/>
  <c r="I91" i="24"/>
  <c r="I92" i="24"/>
  <c r="I93" i="24"/>
  <c r="I94" i="24"/>
  <c r="I95" i="24"/>
  <c r="I96" i="24"/>
  <c r="I97" i="24"/>
  <c r="I98" i="24"/>
  <c r="I99" i="24"/>
  <c r="I100" i="24"/>
  <c r="I101" i="24"/>
  <c r="I102" i="24"/>
  <c r="I103" i="24"/>
  <c r="I104" i="24"/>
  <c r="I105" i="24"/>
  <c r="I106" i="24"/>
  <c r="I107" i="24"/>
  <c r="I108" i="24"/>
  <c r="I109" i="24"/>
  <c r="I110" i="24"/>
  <c r="I111" i="24"/>
  <c r="I112" i="24"/>
  <c r="I113" i="24"/>
  <c r="I114" i="24"/>
  <c r="I115" i="24"/>
  <c r="I116" i="24"/>
  <c r="I117" i="24"/>
  <c r="I118" i="24"/>
  <c r="I119" i="24"/>
  <c r="I120" i="24"/>
  <c r="I121" i="24"/>
  <c r="I122" i="24"/>
  <c r="I123" i="24"/>
  <c r="I124" i="24"/>
  <c r="I125" i="24"/>
  <c r="I126" i="24"/>
  <c r="I127" i="24"/>
  <c r="I128" i="24"/>
  <c r="I129" i="24"/>
  <c r="I130" i="24"/>
  <c r="I131" i="24"/>
  <c r="I132" i="24"/>
  <c r="I133" i="24"/>
  <c r="I134" i="24"/>
  <c r="I135" i="24"/>
  <c r="I136" i="24"/>
  <c r="I137" i="24"/>
  <c r="I138" i="24"/>
  <c r="I139" i="24"/>
  <c r="I140" i="24"/>
  <c r="I141" i="24"/>
  <c r="I142" i="24"/>
  <c r="I143" i="24"/>
  <c r="I144" i="24"/>
  <c r="I145" i="24"/>
  <c r="I146" i="24"/>
  <c r="I147" i="24"/>
  <c r="I148" i="24"/>
  <c r="I149" i="24"/>
  <c r="I150" i="24"/>
  <c r="I151" i="24"/>
  <c r="I152" i="24"/>
  <c r="I153" i="24"/>
  <c r="I154" i="24"/>
  <c r="I155" i="24"/>
  <c r="I156" i="24"/>
  <c r="I157" i="24"/>
  <c r="I158" i="24"/>
  <c r="I159" i="24"/>
  <c r="I160" i="24"/>
  <c r="I161" i="24"/>
  <c r="I162" i="24"/>
  <c r="I163" i="24"/>
  <c r="I164" i="24"/>
  <c r="I165" i="24"/>
  <c r="I166" i="24"/>
  <c r="I167" i="24"/>
  <c r="I168" i="24"/>
  <c r="I169" i="24"/>
  <c r="I170" i="24"/>
  <c r="I171" i="24"/>
  <c r="I172" i="24"/>
  <c r="I173" i="24"/>
  <c r="I174" i="24"/>
  <c r="I175" i="24"/>
  <c r="I176" i="24"/>
  <c r="I177" i="24"/>
  <c r="I178" i="24"/>
  <c r="I179" i="24"/>
  <c r="I180" i="24"/>
  <c r="I181" i="24"/>
  <c r="I182" i="24"/>
  <c r="I183" i="24"/>
  <c r="I184" i="24"/>
  <c r="I185" i="24"/>
  <c r="I186" i="24"/>
  <c r="I187" i="24"/>
  <c r="I188" i="24"/>
  <c r="I189" i="24"/>
  <c r="I190" i="24"/>
  <c r="I192" i="24"/>
  <c r="I193" i="24"/>
  <c r="I194" i="24"/>
  <c r="I195" i="24"/>
  <c r="I196" i="24"/>
  <c r="I197" i="24"/>
  <c r="I198" i="24"/>
  <c r="I199" i="24"/>
  <c r="I200" i="24"/>
  <c r="I201" i="24"/>
  <c r="I202" i="24"/>
  <c r="I203" i="24"/>
  <c r="I204" i="24"/>
  <c r="I205" i="24"/>
  <c r="I206" i="24"/>
  <c r="I207" i="24"/>
  <c r="I208" i="24"/>
  <c r="I209" i="24"/>
  <c r="I210" i="24"/>
  <c r="I211" i="24"/>
  <c r="I212" i="24"/>
  <c r="I213" i="24"/>
  <c r="I214" i="24"/>
  <c r="I215" i="24"/>
  <c r="I216" i="24"/>
  <c r="I217" i="24"/>
  <c r="I218" i="24"/>
  <c r="I219" i="24"/>
  <c r="I220" i="24"/>
  <c r="I221" i="24"/>
  <c r="I222" i="24"/>
  <c r="I223" i="24"/>
  <c r="I224" i="24"/>
  <c r="I225" i="24"/>
  <c r="I226" i="24"/>
  <c r="I227" i="24"/>
  <c r="I228" i="24"/>
  <c r="I229" i="24"/>
  <c r="I230" i="24"/>
  <c r="I231" i="24"/>
  <c r="I232" i="24"/>
  <c r="I233" i="24"/>
  <c r="I234" i="24"/>
  <c r="I235" i="24"/>
  <c r="I236" i="24"/>
  <c r="I237" i="24"/>
  <c r="I238" i="24"/>
  <c r="I239" i="24"/>
  <c r="I240" i="24"/>
  <c r="I241" i="24"/>
  <c r="I242" i="24"/>
  <c r="I243" i="24"/>
  <c r="I244" i="24"/>
  <c r="I245" i="24"/>
  <c r="I246" i="24"/>
  <c r="I247" i="24"/>
  <c r="I248" i="24"/>
  <c r="I249" i="24"/>
  <c r="I250" i="24"/>
  <c r="I251" i="24"/>
  <c r="I252" i="24"/>
  <c r="I253" i="24"/>
  <c r="I254" i="24"/>
  <c r="I255" i="24"/>
  <c r="I256" i="24"/>
  <c r="I257" i="24"/>
  <c r="I258" i="24"/>
  <c r="I259" i="24"/>
  <c r="I260" i="24"/>
  <c r="I261" i="24"/>
  <c r="I262" i="24"/>
  <c r="I263" i="24"/>
  <c r="I264" i="24"/>
  <c r="I265" i="24"/>
  <c r="I266" i="24"/>
  <c r="I267" i="24"/>
  <c r="I268" i="24"/>
  <c r="I269" i="24"/>
  <c r="I270" i="24"/>
  <c r="I271" i="24"/>
  <c r="I272" i="24"/>
  <c r="I273" i="24"/>
  <c r="I274" i="24"/>
  <c r="I275" i="24"/>
  <c r="I276" i="24"/>
  <c r="I277" i="24"/>
  <c r="I278" i="24"/>
  <c r="I279" i="24"/>
  <c r="I280" i="24"/>
  <c r="I281" i="24"/>
  <c r="I282" i="24"/>
  <c r="I283" i="24"/>
  <c r="I284" i="24"/>
  <c r="I285" i="24"/>
  <c r="I286" i="24"/>
  <c r="I287" i="24"/>
  <c r="I288" i="24"/>
  <c r="I289" i="24"/>
  <c r="I290" i="24"/>
  <c r="I291" i="24"/>
  <c r="I292" i="24"/>
  <c r="I293" i="24"/>
  <c r="I294" i="24"/>
  <c r="I295" i="24"/>
  <c r="I296" i="24"/>
  <c r="I297" i="24"/>
  <c r="I298" i="24"/>
  <c r="I299" i="24"/>
  <c r="I300" i="24"/>
  <c r="I301" i="24"/>
  <c r="I302" i="24"/>
  <c r="I303" i="24"/>
  <c r="I304" i="24"/>
  <c r="I305" i="24"/>
  <c r="I306" i="24"/>
  <c r="I307" i="24"/>
  <c r="I308" i="24"/>
  <c r="I309" i="24"/>
  <c r="I310" i="24"/>
  <c r="I311" i="24"/>
  <c r="I312" i="24"/>
  <c r="I313" i="24"/>
  <c r="I314" i="24"/>
  <c r="I315" i="24"/>
  <c r="I316" i="24"/>
  <c r="I317" i="24"/>
  <c r="I319" i="24"/>
  <c r="I320" i="24"/>
  <c r="I321" i="24"/>
  <c r="I322" i="24"/>
  <c r="I323" i="24"/>
  <c r="I324" i="24"/>
  <c r="I325" i="24"/>
  <c r="I326" i="24"/>
  <c r="I327" i="24"/>
  <c r="I328" i="24"/>
  <c r="I329" i="24"/>
  <c r="I330" i="24"/>
  <c r="I331" i="24"/>
  <c r="I332" i="24"/>
  <c r="I333" i="24"/>
  <c r="I334" i="24"/>
  <c r="I335" i="24"/>
  <c r="I336" i="24"/>
  <c r="I337" i="24"/>
  <c r="I338" i="24"/>
  <c r="I339" i="24"/>
  <c r="I340" i="24"/>
  <c r="I341" i="24"/>
  <c r="I342" i="24"/>
  <c r="I343" i="24"/>
  <c r="I344" i="24"/>
  <c r="I345" i="24"/>
  <c r="I346" i="24"/>
  <c r="I347" i="24"/>
  <c r="I348" i="24"/>
  <c r="I349" i="24"/>
  <c r="I350" i="24"/>
  <c r="I351" i="24"/>
  <c r="I352" i="24"/>
  <c r="I353" i="24"/>
  <c r="I354" i="24"/>
  <c r="I355" i="24"/>
  <c r="I356" i="24"/>
  <c r="I357" i="24"/>
  <c r="I358" i="24"/>
  <c r="I359" i="24"/>
  <c r="I360" i="24"/>
  <c r="I361" i="24"/>
  <c r="I362" i="24"/>
  <c r="I363" i="24"/>
  <c r="I364" i="24"/>
  <c r="I365" i="24"/>
  <c r="I366" i="24"/>
  <c r="I367" i="24"/>
  <c r="I368" i="24"/>
  <c r="I369" i="24"/>
  <c r="I370" i="24"/>
  <c r="I371" i="24"/>
  <c r="I372" i="24"/>
  <c r="I373" i="24"/>
  <c r="I374" i="24"/>
  <c r="I375" i="24"/>
  <c r="I376" i="24"/>
  <c r="I377" i="24"/>
  <c r="I378" i="24"/>
  <c r="I379" i="24"/>
  <c r="I380" i="24"/>
  <c r="I381" i="24"/>
  <c r="I382" i="24"/>
  <c r="I383" i="24"/>
  <c r="I384" i="24"/>
  <c r="I385" i="24"/>
  <c r="I386" i="24"/>
  <c r="I387" i="24"/>
  <c r="I388" i="24"/>
  <c r="I389" i="24"/>
  <c r="I390" i="24"/>
  <c r="I391" i="24"/>
  <c r="I392" i="24"/>
  <c r="I393" i="24"/>
  <c r="I394" i="24"/>
  <c r="I395" i="24"/>
  <c r="I396" i="24"/>
  <c r="I397" i="24"/>
  <c r="I398" i="24"/>
  <c r="I399" i="24"/>
  <c r="I400" i="24"/>
  <c r="I401" i="24"/>
  <c r="I402" i="24"/>
  <c r="I403" i="24"/>
  <c r="I404" i="24"/>
  <c r="I405" i="24"/>
  <c r="I406" i="24"/>
  <c r="I407" i="24"/>
  <c r="I408" i="24"/>
  <c r="I409" i="24"/>
  <c r="I410" i="24"/>
  <c r="I411" i="24"/>
  <c r="I412" i="24"/>
  <c r="I413" i="24"/>
  <c r="I414" i="24"/>
  <c r="I415" i="24"/>
  <c r="I416" i="24"/>
  <c r="I417" i="24"/>
  <c r="I418" i="24"/>
  <c r="I419" i="24"/>
  <c r="I420" i="24"/>
  <c r="I421" i="24"/>
  <c r="I422" i="24"/>
  <c r="I423" i="24"/>
  <c r="I424" i="24"/>
  <c r="I425" i="24"/>
  <c r="I426" i="24"/>
  <c r="I427" i="24"/>
  <c r="I428" i="24"/>
  <c r="I429" i="24"/>
  <c r="I430" i="24"/>
  <c r="I431" i="24"/>
  <c r="I432" i="24"/>
  <c r="I433" i="24"/>
  <c r="I435" i="24"/>
  <c r="I436" i="24"/>
  <c r="I437" i="24"/>
  <c r="I438" i="24"/>
  <c r="I439" i="24"/>
  <c r="I440" i="24"/>
  <c r="I441" i="24"/>
  <c r="I442" i="24"/>
  <c r="I443" i="24"/>
  <c r="I444" i="24"/>
  <c r="I445" i="24"/>
  <c r="I446" i="24"/>
  <c r="I447" i="24"/>
  <c r="I448" i="24"/>
  <c r="I449" i="24"/>
  <c r="I450" i="24"/>
  <c r="I451" i="24"/>
  <c r="I452" i="24"/>
  <c r="I453" i="24"/>
  <c r="I454" i="24"/>
  <c r="I455" i="24"/>
  <c r="I456" i="24"/>
  <c r="I457" i="24"/>
  <c r="I458" i="24"/>
  <c r="I459" i="24"/>
  <c r="I460" i="24"/>
  <c r="I461" i="24"/>
  <c r="I462" i="24"/>
  <c r="I463" i="24"/>
  <c r="I464" i="24"/>
  <c r="I465" i="24"/>
  <c r="I466" i="24"/>
  <c r="I467" i="24"/>
  <c r="I468" i="24"/>
  <c r="I469" i="24"/>
  <c r="I470" i="24"/>
  <c r="I471" i="24"/>
  <c r="I472" i="24"/>
  <c r="I473" i="24"/>
  <c r="I475" i="24"/>
  <c r="I476" i="24"/>
  <c r="I477" i="24"/>
  <c r="I478" i="24"/>
  <c r="I479" i="24"/>
  <c r="I480" i="24"/>
  <c r="I481" i="24"/>
  <c r="I482" i="24"/>
  <c r="I483" i="24"/>
  <c r="I484" i="24"/>
  <c r="I485" i="24"/>
  <c r="I486" i="24"/>
  <c r="I487" i="24"/>
  <c r="I488" i="24"/>
  <c r="I489" i="24"/>
  <c r="I490" i="24"/>
  <c r="I491" i="24"/>
  <c r="I492" i="24"/>
  <c r="I493" i="24"/>
  <c r="I494" i="24"/>
  <c r="I495" i="24"/>
  <c r="I496" i="24"/>
  <c r="I497" i="24"/>
  <c r="I498" i="24"/>
  <c r="I499" i="24"/>
  <c r="I500" i="24"/>
  <c r="I501" i="24"/>
  <c r="I502" i="24"/>
  <c r="I503" i="24"/>
  <c r="I504" i="24"/>
  <c r="I505" i="24"/>
  <c r="I506" i="24"/>
  <c r="I507" i="24"/>
  <c r="I508" i="24"/>
  <c r="I509" i="24"/>
  <c r="I510" i="24"/>
  <c r="I511" i="24"/>
  <c r="I512" i="24"/>
  <c r="I513" i="24"/>
  <c r="I514" i="24"/>
  <c r="I515" i="24"/>
  <c r="I516" i="24"/>
  <c r="I517" i="24"/>
  <c r="I518" i="24"/>
  <c r="I519" i="24"/>
  <c r="I520" i="24"/>
  <c r="I521" i="24"/>
  <c r="I522" i="24"/>
  <c r="I523" i="24"/>
  <c r="I524" i="24"/>
  <c r="I525" i="24"/>
  <c r="I526" i="24"/>
  <c r="I527" i="24"/>
  <c r="I528" i="24"/>
  <c r="I529" i="24"/>
  <c r="I530" i="24"/>
  <c r="I531" i="24"/>
  <c r="I532" i="24"/>
  <c r="I533" i="24"/>
  <c r="I534" i="24"/>
  <c r="I535" i="24"/>
  <c r="I536" i="24"/>
  <c r="I537" i="24"/>
  <c r="I538" i="24"/>
  <c r="I539" i="24"/>
  <c r="I540" i="24"/>
  <c r="I541" i="24"/>
  <c r="I542" i="24"/>
  <c r="I543" i="24"/>
  <c r="I544" i="24"/>
  <c r="I545" i="24"/>
  <c r="I546" i="24"/>
  <c r="I547" i="24"/>
  <c r="I548" i="24"/>
  <c r="I549" i="24"/>
  <c r="I550" i="24"/>
  <c r="I551" i="24"/>
  <c r="I552" i="24"/>
  <c r="I553" i="24"/>
  <c r="I554" i="24"/>
  <c r="I555" i="24"/>
  <c r="I556" i="24"/>
  <c r="I557" i="24"/>
  <c r="I558" i="24"/>
  <c r="I559" i="24"/>
  <c r="I560" i="24"/>
  <c r="I561" i="24"/>
  <c r="I563" i="24"/>
  <c r="I564" i="24"/>
  <c r="I565" i="24"/>
  <c r="I566" i="24"/>
  <c r="I567" i="24"/>
  <c r="I568" i="24"/>
  <c r="I569" i="24"/>
  <c r="I570" i="24"/>
  <c r="I571" i="24"/>
  <c r="I572" i="24"/>
  <c r="I573" i="24"/>
  <c r="I574" i="24"/>
  <c r="I575" i="24"/>
  <c r="I576" i="24"/>
  <c r="I577" i="24"/>
  <c r="I578" i="24"/>
  <c r="I579" i="24"/>
  <c r="I580" i="24"/>
  <c r="I581" i="24"/>
  <c r="I582" i="24"/>
  <c r="I583" i="24"/>
  <c r="I584" i="24"/>
  <c r="I585" i="24"/>
  <c r="I586" i="24"/>
  <c r="I587" i="24"/>
  <c r="I588" i="24"/>
  <c r="I589" i="24"/>
  <c r="I590" i="24"/>
  <c r="I591" i="24"/>
  <c r="I592" i="24"/>
  <c r="I593" i="24"/>
  <c r="I594" i="24"/>
  <c r="I595" i="24"/>
  <c r="I596" i="24"/>
  <c r="I597" i="24"/>
  <c r="I598" i="24"/>
  <c r="I599" i="24"/>
  <c r="I600" i="24"/>
  <c r="I601" i="24"/>
  <c r="I602" i="24"/>
  <c r="I603" i="24"/>
  <c r="I604" i="24"/>
  <c r="I605" i="24"/>
  <c r="I606" i="24"/>
  <c r="I607" i="24"/>
  <c r="I608" i="24"/>
  <c r="I609" i="24"/>
  <c r="I610" i="24"/>
  <c r="I611" i="24"/>
  <c r="I612" i="24"/>
  <c r="I613" i="24"/>
  <c r="I614" i="24"/>
  <c r="I616" i="24"/>
  <c r="I617" i="24"/>
  <c r="I618" i="24"/>
  <c r="I619" i="24"/>
  <c r="I620" i="24"/>
  <c r="I621" i="24"/>
  <c r="I622" i="24"/>
  <c r="I623" i="24"/>
  <c r="I624" i="24"/>
  <c r="I625" i="24"/>
  <c r="I626" i="24"/>
  <c r="I627" i="24"/>
  <c r="I628" i="24"/>
  <c r="I629" i="24"/>
  <c r="I630" i="24"/>
  <c r="I631" i="24"/>
  <c r="I632" i="24"/>
  <c r="I633" i="24"/>
  <c r="I634" i="24"/>
  <c r="I635" i="24"/>
  <c r="I636" i="24"/>
  <c r="I637" i="24"/>
  <c r="I638" i="24"/>
  <c r="I639" i="24"/>
  <c r="I640" i="24"/>
  <c r="I641" i="24"/>
  <c r="I642" i="24"/>
  <c r="I643" i="24"/>
  <c r="I644" i="24"/>
  <c r="I645" i="24"/>
  <c r="I646" i="24"/>
  <c r="I647" i="24"/>
  <c r="I648" i="24"/>
  <c r="I649" i="24"/>
  <c r="I650" i="24"/>
  <c r="I651" i="24"/>
  <c r="I652" i="24"/>
  <c r="I653" i="24"/>
  <c r="I654" i="24"/>
  <c r="I655" i="24"/>
  <c r="I656" i="24"/>
  <c r="I657" i="24"/>
  <c r="I658" i="24"/>
  <c r="I659" i="24"/>
  <c r="I660" i="24"/>
  <c r="I661" i="24"/>
  <c r="I662" i="24"/>
  <c r="I663" i="24"/>
  <c r="I664" i="24"/>
  <c r="I665" i="24"/>
  <c r="I666" i="24"/>
  <c r="I667" i="24"/>
  <c r="I668" i="24"/>
  <c r="I669" i="24"/>
  <c r="I670" i="24"/>
  <c r="I671" i="24"/>
  <c r="I672" i="24"/>
  <c r="I673" i="24"/>
  <c r="I674" i="24"/>
  <c r="I676" i="24"/>
  <c r="I677" i="24"/>
  <c r="I678" i="24"/>
  <c r="I679" i="24"/>
  <c r="I680" i="24"/>
  <c r="I681" i="24"/>
  <c r="I682" i="24"/>
  <c r="I683" i="24"/>
  <c r="I684" i="24"/>
  <c r="I685" i="24"/>
  <c r="I686" i="24"/>
  <c r="I687" i="24"/>
  <c r="I688" i="24"/>
  <c r="I689" i="24"/>
  <c r="I690" i="24"/>
  <c r="I691" i="24"/>
  <c r="I692" i="24"/>
  <c r="I693" i="24"/>
  <c r="I694" i="24"/>
  <c r="I695" i="24"/>
  <c r="I696" i="24"/>
  <c r="I697" i="24"/>
  <c r="I698" i="24"/>
  <c r="I699" i="24"/>
  <c r="I700" i="24"/>
  <c r="I701" i="24"/>
  <c r="I702" i="24"/>
  <c r="I703" i="24"/>
  <c r="I704" i="24"/>
  <c r="I705" i="24"/>
  <c r="I706" i="24"/>
  <c r="I707" i="24"/>
  <c r="I708" i="24"/>
  <c r="I709" i="24"/>
  <c r="I710" i="24"/>
  <c r="I711" i="24"/>
  <c r="I712" i="24"/>
  <c r="I713" i="24"/>
  <c r="I714" i="24"/>
  <c r="I715" i="24"/>
  <c r="I716" i="24"/>
  <c r="I717" i="24"/>
  <c r="I718" i="24"/>
  <c r="I719" i="24"/>
  <c r="I720" i="24"/>
  <c r="I721" i="24"/>
  <c r="I722" i="24"/>
  <c r="I723" i="24"/>
  <c r="I725" i="24"/>
  <c r="I726" i="24"/>
  <c r="I727" i="24"/>
  <c r="I728" i="24"/>
  <c r="I729" i="24"/>
  <c r="I730" i="24"/>
  <c r="I731" i="24"/>
  <c r="I732" i="24"/>
  <c r="I733" i="24"/>
  <c r="I734" i="24"/>
  <c r="I735" i="24"/>
  <c r="I736" i="24"/>
  <c r="I737" i="24"/>
  <c r="I738" i="24"/>
  <c r="I739" i="24"/>
  <c r="I740" i="24"/>
  <c r="I741" i="24"/>
  <c r="I742" i="24"/>
  <c r="I743" i="24"/>
  <c r="I744" i="24"/>
  <c r="I745" i="24"/>
  <c r="I746" i="24"/>
  <c r="I747" i="24"/>
  <c r="I748" i="24"/>
  <c r="I749" i="24"/>
  <c r="I750" i="24"/>
  <c r="I751" i="24"/>
  <c r="I752" i="24"/>
  <c r="I753" i="24"/>
  <c r="I754" i="24"/>
  <c r="I755" i="24"/>
  <c r="I756" i="24"/>
  <c r="I757" i="24"/>
  <c r="I758" i="24"/>
  <c r="I759" i="24"/>
  <c r="I760" i="24"/>
  <c r="I761" i="24"/>
  <c r="I762" i="24"/>
  <c r="I763" i="24"/>
  <c r="I764" i="24"/>
  <c r="I766" i="24"/>
  <c r="I767" i="24"/>
  <c r="I768" i="24"/>
  <c r="I769" i="24"/>
  <c r="I770" i="24"/>
  <c r="I771" i="24"/>
  <c r="I772" i="24"/>
  <c r="I773" i="24"/>
  <c r="I774" i="24"/>
  <c r="I775" i="24"/>
  <c r="I776" i="24"/>
  <c r="I777" i="24"/>
  <c r="I778" i="24"/>
  <c r="I779" i="24"/>
  <c r="I780" i="24"/>
  <c r="I781" i="24"/>
  <c r="I782" i="24"/>
  <c r="I783" i="24"/>
  <c r="I784" i="24"/>
  <c r="I785" i="24"/>
  <c r="I786" i="24"/>
  <c r="I787" i="24"/>
  <c r="I788" i="24"/>
  <c r="I789" i="24"/>
  <c r="I790" i="24"/>
  <c r="I791" i="24"/>
  <c r="I792" i="24"/>
  <c r="I793" i="24"/>
  <c r="I794" i="24"/>
  <c r="I795" i="24"/>
  <c r="I796" i="24"/>
  <c r="I797" i="24"/>
  <c r="I798" i="24"/>
  <c r="I799" i="24"/>
  <c r="I800" i="24"/>
  <c r="I801" i="24"/>
  <c r="I802" i="24"/>
  <c r="I803" i="24"/>
  <c r="I804" i="24"/>
  <c r="I805" i="24"/>
  <c r="I806" i="24"/>
  <c r="I807" i="24"/>
  <c r="I808" i="24"/>
  <c r="I809" i="24"/>
  <c r="I810" i="24"/>
  <c r="I811" i="24"/>
  <c r="I812" i="24"/>
  <c r="I813" i="24"/>
  <c r="I814" i="24"/>
  <c r="I815" i="24"/>
  <c r="I816" i="24"/>
  <c r="I817" i="24"/>
  <c r="I818" i="24"/>
  <c r="I820" i="24"/>
  <c r="I821" i="24"/>
  <c r="I822" i="24"/>
  <c r="I823" i="24"/>
  <c r="I824" i="24"/>
  <c r="I825" i="24"/>
  <c r="I826" i="24"/>
  <c r="I827" i="24"/>
  <c r="I828" i="24"/>
  <c r="I829" i="24"/>
  <c r="I830" i="24"/>
  <c r="I831" i="24"/>
  <c r="I832" i="24"/>
  <c r="I833" i="24"/>
  <c r="I834" i="24"/>
  <c r="I835" i="24"/>
  <c r="I836" i="24"/>
  <c r="I837" i="24"/>
  <c r="I838" i="24"/>
  <c r="I839" i="24"/>
  <c r="I840" i="24"/>
  <c r="I841" i="24"/>
  <c r="I842" i="24"/>
  <c r="I843" i="24"/>
  <c r="I844" i="24"/>
  <c r="I845" i="24"/>
  <c r="I846" i="24"/>
  <c r="I847" i="24"/>
  <c r="I848" i="24"/>
  <c r="I849" i="24"/>
  <c r="I850" i="24"/>
  <c r="I851" i="24"/>
  <c r="I852" i="24"/>
  <c r="I853" i="24"/>
  <c r="I854" i="24"/>
  <c r="I855" i="24"/>
  <c r="I856" i="24"/>
  <c r="I857" i="24"/>
  <c r="I858" i="24"/>
  <c r="I859" i="24"/>
  <c r="I860" i="24"/>
  <c r="I861" i="24"/>
  <c r="I862" i="24"/>
  <c r="I863" i="24"/>
  <c r="I864" i="24"/>
  <c r="I865" i="24"/>
  <c r="I866" i="24"/>
  <c r="I867" i="24"/>
  <c r="I868" i="24"/>
  <c r="I869" i="24"/>
  <c r="I870" i="24"/>
  <c r="I871" i="24"/>
  <c r="I872" i="24"/>
  <c r="I873" i="24"/>
  <c r="I874" i="24"/>
  <c r="I875" i="24"/>
  <c r="I876" i="24"/>
  <c r="I877" i="24"/>
  <c r="I878" i="24"/>
  <c r="I879" i="24"/>
  <c r="I881" i="24"/>
  <c r="I882" i="24"/>
  <c r="I883" i="24"/>
  <c r="I884" i="24"/>
  <c r="I885" i="24"/>
  <c r="I886" i="24"/>
  <c r="I887" i="24"/>
  <c r="I888" i="24"/>
  <c r="I889" i="24"/>
  <c r="I890" i="24"/>
  <c r="I891" i="24"/>
  <c r="I892" i="24"/>
  <c r="I893" i="24"/>
  <c r="I894" i="24"/>
  <c r="I895" i="24"/>
  <c r="I896" i="24"/>
  <c r="I897" i="24"/>
  <c r="I898" i="24"/>
  <c r="I899" i="24"/>
  <c r="I900" i="24"/>
  <c r="I901" i="24"/>
  <c r="I902" i="24"/>
  <c r="I903" i="24"/>
  <c r="I904" i="24"/>
  <c r="I905" i="24"/>
  <c r="I906" i="24"/>
  <c r="I907" i="24"/>
  <c r="I908" i="24"/>
  <c r="I909" i="24"/>
  <c r="I910" i="24"/>
  <c r="I911" i="24"/>
  <c r="I912" i="24"/>
  <c r="I913" i="24"/>
  <c r="I914" i="24"/>
  <c r="I915" i="24"/>
  <c r="I916" i="24"/>
  <c r="I917" i="24"/>
  <c r="I918" i="24"/>
  <c r="I920" i="24"/>
  <c r="I921" i="24"/>
  <c r="I922" i="24"/>
  <c r="I923" i="24"/>
  <c r="I925" i="24"/>
  <c r="I926" i="24"/>
  <c r="I927" i="24"/>
  <c r="I928" i="24"/>
  <c r="I929" i="24"/>
  <c r="I930" i="24"/>
  <c r="I931" i="24"/>
  <c r="I932" i="24"/>
  <c r="I933" i="24"/>
  <c r="I936" i="24"/>
  <c r="I937" i="24"/>
  <c r="I938" i="24"/>
  <c r="I939" i="24"/>
  <c r="I940" i="24"/>
  <c r="I941" i="24"/>
  <c r="I942" i="24"/>
  <c r="I943" i="24"/>
  <c r="I944" i="24"/>
  <c r="I945" i="24"/>
  <c r="I946" i="24"/>
  <c r="I947" i="24"/>
  <c r="I948" i="24"/>
  <c r="I949" i="24"/>
  <c r="I950" i="24"/>
  <c r="I951" i="24"/>
  <c r="I952" i="24"/>
  <c r="I953" i="24"/>
  <c r="I954" i="24"/>
  <c r="I955" i="24"/>
  <c r="I956" i="24"/>
  <c r="I957" i="24"/>
  <c r="I958" i="24"/>
  <c r="I959" i="24"/>
  <c r="I960" i="24"/>
  <c r="I961" i="24"/>
  <c r="I962" i="24"/>
  <c r="I963" i="24"/>
  <c r="I964" i="24"/>
  <c r="I965" i="24"/>
  <c r="I966" i="24"/>
  <c r="I967" i="24"/>
  <c r="I968" i="24"/>
  <c r="I969" i="24"/>
  <c r="I970" i="24"/>
  <c r="I971" i="24"/>
  <c r="I972" i="24"/>
  <c r="I973" i="24"/>
  <c r="I974" i="24"/>
  <c r="I975" i="24"/>
  <c r="I976" i="24"/>
  <c r="I977" i="24"/>
  <c r="I978" i="24"/>
  <c r="I979" i="24"/>
  <c r="I980" i="24"/>
  <c r="I981" i="24"/>
  <c r="I982" i="24"/>
  <c r="I983" i="24"/>
  <c r="I984" i="24"/>
  <c r="I985" i="24"/>
  <c r="I986" i="24"/>
  <c r="I987" i="24"/>
  <c r="I988" i="24"/>
  <c r="I989" i="24"/>
  <c r="I990" i="24"/>
  <c r="I991" i="24"/>
  <c r="I992" i="24"/>
  <c r="I993" i="24"/>
  <c r="I994" i="24"/>
  <c r="I995" i="24"/>
  <c r="I996" i="24"/>
  <c r="I997" i="24"/>
  <c r="I998" i="24"/>
  <c r="I1000" i="24"/>
  <c r="I1001" i="24"/>
  <c r="I1002" i="24"/>
  <c r="I1003" i="24"/>
  <c r="I1004" i="24"/>
  <c r="I1005" i="24"/>
  <c r="I1006" i="24"/>
  <c r="I1007" i="24"/>
  <c r="I1008" i="24"/>
  <c r="I1009" i="24"/>
  <c r="I1010" i="24"/>
  <c r="I1011" i="24"/>
  <c r="I1012" i="24"/>
  <c r="I1013" i="24"/>
  <c r="I1014" i="24"/>
  <c r="I1015" i="24"/>
  <c r="I1016" i="24"/>
  <c r="I1017" i="24"/>
  <c r="I1018" i="24"/>
  <c r="I1019" i="24"/>
  <c r="I1020" i="24"/>
  <c r="I1021" i="24"/>
  <c r="I1022" i="24"/>
  <c r="I1023" i="24"/>
  <c r="I1024" i="24"/>
  <c r="I1025" i="24"/>
  <c r="I1026" i="24"/>
  <c r="I1027" i="24"/>
  <c r="I1028" i="24"/>
  <c r="I1029" i="24"/>
  <c r="I1030" i="24"/>
  <c r="I1031" i="24"/>
  <c r="I1032" i="24"/>
  <c r="I1033" i="24"/>
  <c r="I1034" i="24"/>
  <c r="I1035" i="24"/>
  <c r="I1036" i="24"/>
  <c r="I1037" i="24"/>
  <c r="I1038" i="24"/>
  <c r="I1039" i="24"/>
  <c r="I1040" i="24"/>
  <c r="I1041" i="24"/>
  <c r="I1042" i="24"/>
  <c r="I1043" i="24"/>
  <c r="I1044" i="24"/>
  <c r="I1045" i="24"/>
  <c r="I1046" i="24"/>
  <c r="I1047" i="24"/>
  <c r="I1048" i="24"/>
  <c r="I1049" i="24"/>
  <c r="I1050" i="24"/>
  <c r="I1051" i="24"/>
  <c r="I1052" i="24"/>
  <c r="I1053" i="24"/>
  <c r="I1054" i="24"/>
  <c r="I1055" i="24"/>
  <c r="I1056" i="24"/>
  <c r="I1057" i="24"/>
  <c r="I1058" i="24"/>
  <c r="I1059" i="24"/>
  <c r="I1060" i="24"/>
  <c r="I1061" i="24"/>
  <c r="I1062" i="24"/>
  <c r="I1063" i="24"/>
  <c r="I1064" i="24"/>
  <c r="I1065" i="24"/>
  <c r="I1066" i="24"/>
  <c r="I1067" i="24"/>
  <c r="I1068" i="24"/>
  <c r="I1069" i="24"/>
  <c r="I1070" i="24"/>
  <c r="I1071" i="24"/>
  <c r="I1072" i="24"/>
  <c r="I1073" i="24"/>
  <c r="I1074" i="24"/>
  <c r="I1075" i="24"/>
  <c r="I1076" i="24"/>
  <c r="I1077" i="24"/>
  <c r="I1078" i="24"/>
  <c r="I1079" i="24"/>
  <c r="I1080" i="24"/>
  <c r="I1081" i="24"/>
  <c r="I1082" i="24"/>
  <c r="I1083" i="24"/>
  <c r="I1084" i="24"/>
  <c r="I1085" i="24"/>
  <c r="I1086" i="24"/>
  <c r="I1087" i="24"/>
  <c r="I1088" i="24"/>
  <c r="I1089" i="24"/>
  <c r="I1090" i="24"/>
  <c r="I1091" i="24"/>
  <c r="I1092" i="24"/>
  <c r="I1093" i="24"/>
  <c r="I1094" i="24"/>
  <c r="I1095" i="24"/>
  <c r="I1096" i="24"/>
  <c r="I1097" i="24"/>
  <c r="I1098" i="24"/>
  <c r="I1100" i="24"/>
  <c r="I1101" i="24"/>
  <c r="I1102" i="24"/>
  <c r="I1103" i="24"/>
  <c r="I1104" i="24"/>
  <c r="I1105" i="24"/>
  <c r="I1106" i="24"/>
  <c r="I1107" i="24"/>
  <c r="I1108" i="24"/>
  <c r="I1109" i="24"/>
  <c r="I1110" i="24"/>
  <c r="I1111" i="24"/>
  <c r="I1112" i="24"/>
  <c r="I1113" i="24"/>
  <c r="I1114" i="24"/>
  <c r="I1115" i="24"/>
  <c r="I1116" i="24"/>
  <c r="I1117" i="24"/>
  <c r="I1118" i="24"/>
  <c r="I1119" i="24"/>
  <c r="I1120" i="24"/>
  <c r="I1121" i="24"/>
  <c r="I1122" i="24"/>
  <c r="I1123" i="24"/>
  <c r="I1124" i="24"/>
  <c r="I1125" i="24"/>
  <c r="I1126" i="24"/>
  <c r="I1127" i="24"/>
  <c r="I1128" i="24"/>
  <c r="I1129" i="24"/>
  <c r="I1130" i="24"/>
  <c r="I1131" i="24"/>
  <c r="I1132" i="24"/>
  <c r="I1133" i="24"/>
  <c r="I1134" i="24"/>
  <c r="I1135" i="24"/>
  <c r="I1136" i="24"/>
  <c r="I1137" i="24"/>
  <c r="I1138" i="24"/>
  <c r="I1139" i="24"/>
  <c r="I1140" i="24"/>
  <c r="I1141" i="24"/>
  <c r="I1142" i="24"/>
  <c r="I1143" i="24"/>
  <c r="I1144" i="24"/>
  <c r="I1145" i="24"/>
  <c r="I1146" i="24"/>
  <c r="I1147" i="24"/>
  <c r="I1148" i="24"/>
  <c r="I1149" i="24"/>
  <c r="I1150" i="24"/>
  <c r="I1151" i="24"/>
  <c r="I1152" i="24"/>
  <c r="I1153" i="24"/>
  <c r="I1154" i="24"/>
  <c r="I1155" i="24"/>
  <c r="I1156" i="24"/>
  <c r="I1157" i="24"/>
  <c r="I1158" i="24"/>
  <c r="I1159" i="24"/>
  <c r="I1160" i="24"/>
  <c r="I1161" i="24"/>
  <c r="I1162" i="24"/>
  <c r="I1163" i="24"/>
  <c r="I1164" i="24"/>
  <c r="I1165" i="24"/>
  <c r="I1167" i="24"/>
  <c r="I1168" i="24"/>
  <c r="I1169" i="24"/>
  <c r="I1170" i="24"/>
  <c r="I1171" i="24"/>
  <c r="I1172" i="24"/>
  <c r="I1173" i="24"/>
  <c r="I1174" i="24"/>
  <c r="I1175" i="24"/>
  <c r="I1176" i="24"/>
  <c r="I1177" i="24"/>
  <c r="I1178" i="24"/>
  <c r="I1179" i="24"/>
  <c r="I1180" i="24"/>
  <c r="I1181" i="24"/>
  <c r="I1182" i="24"/>
  <c r="I1183" i="24"/>
  <c r="I1184" i="24"/>
  <c r="I1185" i="24"/>
  <c r="I1186" i="24"/>
  <c r="I1187" i="24"/>
  <c r="I1188" i="24"/>
  <c r="I1189" i="24"/>
  <c r="I1190" i="24"/>
  <c r="I1191" i="24"/>
  <c r="I1192" i="24"/>
  <c r="I1193" i="24"/>
  <c r="I1194" i="24"/>
  <c r="I1195" i="24"/>
  <c r="I1196" i="24"/>
  <c r="I1197" i="24"/>
  <c r="I1198" i="24"/>
  <c r="I1199" i="24"/>
  <c r="I1200" i="24"/>
  <c r="I1201" i="24"/>
  <c r="I1202" i="24"/>
  <c r="I1203" i="24"/>
  <c r="I1204" i="24"/>
  <c r="I1205" i="24"/>
  <c r="I1206" i="24"/>
  <c r="I1207" i="24"/>
  <c r="I1208" i="24"/>
  <c r="I1209" i="24"/>
  <c r="I1210" i="24"/>
  <c r="I1211" i="24"/>
  <c r="I1212" i="24"/>
  <c r="I1213" i="24"/>
  <c r="I1214" i="24"/>
  <c r="I1215" i="24"/>
  <c r="I1216" i="24"/>
  <c r="I1217" i="24"/>
  <c r="I1218" i="24"/>
  <c r="I1219" i="24"/>
  <c r="I1220" i="24"/>
  <c r="I1221" i="24"/>
  <c r="I1222" i="24"/>
  <c r="I1223" i="24"/>
  <c r="I1224" i="24"/>
  <c r="I1225" i="24"/>
  <c r="I1226" i="24"/>
  <c r="I1227" i="24"/>
  <c r="I1228" i="24"/>
  <c r="I1229" i="24"/>
  <c r="I1230" i="24"/>
  <c r="I1231" i="24"/>
  <c r="I1232" i="24"/>
  <c r="I1233" i="24"/>
  <c r="I1234" i="24"/>
  <c r="I1235" i="24"/>
  <c r="I1236" i="24"/>
  <c r="I1237" i="24"/>
  <c r="I1238" i="24"/>
  <c r="I1239" i="24"/>
  <c r="I1240" i="24"/>
  <c r="I1241" i="24"/>
  <c r="I1242" i="24"/>
  <c r="I1243" i="24"/>
  <c r="I1244" i="24"/>
  <c r="I1245" i="24"/>
  <c r="I1246" i="24"/>
  <c r="I1247" i="24"/>
  <c r="I1248" i="24"/>
  <c r="I1249" i="24"/>
  <c r="I1250" i="24"/>
  <c r="I1251" i="24"/>
  <c r="I1252" i="24"/>
  <c r="I1253" i="24"/>
  <c r="I1254" i="24"/>
  <c r="I1255" i="24"/>
  <c r="I1256" i="24"/>
  <c r="I1257" i="24"/>
  <c r="I1258" i="24"/>
  <c r="I1259" i="24"/>
  <c r="I1260" i="24"/>
  <c r="I1261" i="24"/>
  <c r="I1262" i="24"/>
  <c r="I1263" i="24"/>
  <c r="I1264" i="24"/>
  <c r="I1266" i="24"/>
  <c r="I1267" i="24"/>
  <c r="I1268" i="24"/>
  <c r="I1269" i="24"/>
  <c r="I1270" i="24"/>
  <c r="I1271" i="24"/>
  <c r="I1272" i="24"/>
  <c r="I1273" i="24"/>
  <c r="I1274" i="24"/>
  <c r="I1275" i="24"/>
  <c r="I1276" i="24"/>
  <c r="I1277" i="24"/>
  <c r="I1278" i="24"/>
  <c r="I1279" i="24"/>
  <c r="I1280" i="24"/>
  <c r="I1281" i="24"/>
  <c r="I1282" i="24"/>
  <c r="I1283" i="24"/>
  <c r="I1284" i="24"/>
  <c r="I1285" i="24"/>
  <c r="I1286" i="24"/>
  <c r="I1287" i="24"/>
  <c r="I1288" i="24"/>
  <c r="I1289" i="24"/>
  <c r="I1290" i="24"/>
  <c r="I1291" i="24"/>
  <c r="I1292" i="24"/>
  <c r="I1293" i="24"/>
  <c r="I1294" i="24"/>
  <c r="I1295" i="24"/>
  <c r="I1296" i="24"/>
  <c r="I1297" i="24"/>
  <c r="I1298" i="24"/>
  <c r="I1299" i="24"/>
  <c r="I1300" i="24"/>
  <c r="I1301" i="24"/>
  <c r="I1302" i="24"/>
  <c r="I1303" i="24"/>
  <c r="I1304" i="24"/>
  <c r="I1305" i="24"/>
  <c r="I1306" i="24"/>
  <c r="I1307" i="24"/>
  <c r="I1308" i="24"/>
  <c r="I1309" i="24"/>
  <c r="I1310" i="24"/>
  <c r="I1311" i="24"/>
  <c r="I1312" i="24"/>
  <c r="I1313" i="24"/>
  <c r="I1314" i="24"/>
  <c r="I1315" i="24"/>
  <c r="I1316" i="24"/>
  <c r="I1317" i="24"/>
  <c r="I1318" i="24"/>
  <c r="I1319" i="24"/>
  <c r="I1320" i="24"/>
  <c r="I1321" i="24"/>
  <c r="I1322" i="24"/>
  <c r="I1323" i="24"/>
  <c r="I1324" i="24"/>
  <c r="I1325" i="24"/>
  <c r="I1326" i="24"/>
  <c r="I1327" i="24"/>
  <c r="I1328" i="24"/>
  <c r="I1329" i="24"/>
  <c r="I1330" i="24"/>
  <c r="I1331" i="24"/>
  <c r="I1332" i="24"/>
  <c r="I1333" i="24"/>
  <c r="I1334" i="24"/>
  <c r="I1335" i="24"/>
  <c r="I1336" i="24"/>
  <c r="I1337" i="24"/>
  <c r="I1338" i="24"/>
  <c r="I1339" i="24"/>
  <c r="I1340" i="24"/>
  <c r="I1341" i="24"/>
  <c r="I1342" i="24"/>
  <c r="I1343" i="24"/>
  <c r="I1344" i="24"/>
  <c r="I1345" i="24"/>
  <c r="I1346" i="24"/>
  <c r="I1347" i="24"/>
  <c r="I1348" i="24"/>
  <c r="I1349" i="24"/>
  <c r="I1350" i="24"/>
  <c r="I1351" i="24"/>
  <c r="I1352" i="24"/>
  <c r="I1353" i="24"/>
  <c r="I1354" i="24"/>
  <c r="I1355" i="24"/>
  <c r="I1356" i="24"/>
  <c r="I1357" i="24"/>
  <c r="I1358" i="24"/>
  <c r="I1359" i="24"/>
  <c r="I1360" i="24"/>
  <c r="I1361" i="24"/>
  <c r="I1362" i="24"/>
  <c r="I1363" i="24"/>
  <c r="I1364" i="24"/>
  <c r="I1365" i="24"/>
  <c r="I1366" i="24"/>
  <c r="I1367" i="24"/>
  <c r="I1368" i="24"/>
  <c r="I1369" i="24"/>
  <c r="I1370" i="24"/>
  <c r="I1371" i="24"/>
  <c r="I1372" i="24"/>
  <c r="I1373" i="24"/>
  <c r="I1374" i="24"/>
  <c r="I1375" i="24"/>
  <c r="I1376" i="24"/>
  <c r="I1377" i="24"/>
  <c r="I1378" i="24"/>
  <c r="I1379" i="24"/>
  <c r="I1380" i="24"/>
  <c r="I1381" i="24"/>
  <c r="I1382" i="24"/>
  <c r="I1383" i="24"/>
  <c r="I1384" i="24"/>
  <c r="I1385" i="24"/>
  <c r="I1386" i="24"/>
  <c r="I1388" i="24"/>
  <c r="I1389" i="24"/>
  <c r="I1390" i="24"/>
  <c r="I1391" i="24"/>
  <c r="I1392" i="24"/>
  <c r="I1393" i="24"/>
  <c r="I1394" i="24"/>
  <c r="I1395" i="24"/>
  <c r="I1396" i="24"/>
  <c r="I1397" i="24"/>
  <c r="I1398" i="24"/>
  <c r="I1399" i="24"/>
  <c r="I1400" i="24"/>
  <c r="I1401" i="24"/>
  <c r="I1402" i="24"/>
  <c r="I1403" i="24"/>
  <c r="I1404" i="24"/>
  <c r="I1405" i="24"/>
  <c r="I1406" i="24"/>
  <c r="I1407" i="24"/>
  <c r="I1408" i="24"/>
  <c r="I1409" i="24"/>
  <c r="I1410" i="24"/>
  <c r="I1411" i="24"/>
  <c r="I1412" i="24"/>
  <c r="I1413" i="24"/>
  <c r="I1414" i="24"/>
  <c r="I1415" i="24"/>
  <c r="I1416" i="24"/>
  <c r="I1417" i="24"/>
  <c r="I1418" i="24"/>
  <c r="I1419" i="24"/>
  <c r="I1420" i="24"/>
  <c r="I1421" i="24"/>
  <c r="I1422" i="24"/>
  <c r="I1423" i="24"/>
  <c r="I1424" i="24"/>
  <c r="I1425" i="24"/>
  <c r="I1426" i="24"/>
  <c r="I1427" i="24"/>
  <c r="I1428" i="24"/>
  <c r="I1429" i="24"/>
  <c r="I1430" i="24"/>
  <c r="I1431" i="24"/>
  <c r="I1432" i="24"/>
  <c r="I1433" i="24"/>
  <c r="I1434" i="24"/>
  <c r="I1435" i="24"/>
  <c r="I1436" i="24"/>
  <c r="I1437" i="24"/>
  <c r="I1438" i="24"/>
  <c r="I1439" i="24"/>
  <c r="I1440" i="24"/>
  <c r="I1441" i="24"/>
  <c r="I1442" i="24"/>
  <c r="I1443" i="24"/>
  <c r="I1444" i="24"/>
  <c r="I1445" i="24"/>
  <c r="I1446" i="24"/>
  <c r="I1447" i="24"/>
  <c r="I1448" i="24"/>
  <c r="I1449" i="24"/>
  <c r="I1450" i="24"/>
  <c r="I1451" i="24"/>
  <c r="I1452" i="24"/>
  <c r="I1453" i="24"/>
  <c r="I1454" i="24"/>
  <c r="I1455" i="24"/>
  <c r="I1456" i="24"/>
  <c r="I1458" i="24"/>
  <c r="I1459" i="24"/>
  <c r="I1460" i="24"/>
  <c r="I1461" i="24"/>
  <c r="I1462" i="24"/>
  <c r="I1463" i="24"/>
  <c r="I1464" i="24"/>
  <c r="I1465" i="24"/>
  <c r="I1466" i="24"/>
  <c r="I1467" i="24"/>
  <c r="I1468" i="24"/>
  <c r="I1469" i="24"/>
  <c r="I1470" i="24"/>
  <c r="I1471" i="24"/>
  <c r="I1472" i="24"/>
  <c r="I1473" i="24"/>
  <c r="I1474" i="24"/>
  <c r="I1475" i="24"/>
  <c r="I1476" i="24"/>
  <c r="I1477" i="24"/>
  <c r="I1478" i="24"/>
  <c r="I1479" i="24"/>
  <c r="I1480" i="24"/>
  <c r="I1481" i="24"/>
  <c r="I1482" i="24"/>
  <c r="I1483" i="24"/>
  <c r="I1484" i="24"/>
  <c r="I1485" i="24"/>
  <c r="I1486" i="24"/>
  <c r="I1487" i="24"/>
  <c r="I1488" i="24"/>
  <c r="I1489" i="24"/>
  <c r="I1490" i="24"/>
  <c r="I1491" i="24"/>
  <c r="I1492" i="24"/>
  <c r="I1493" i="24"/>
  <c r="I1494" i="24"/>
  <c r="I1495" i="24"/>
  <c r="I1496" i="24"/>
  <c r="I1497" i="24"/>
  <c r="I1498" i="24"/>
  <c r="I1499" i="24"/>
  <c r="I1500" i="24"/>
  <c r="I1501" i="24"/>
  <c r="I1502" i="24"/>
  <c r="I1503" i="24"/>
  <c r="I1504" i="24"/>
  <c r="I1505" i="24"/>
  <c r="I1506" i="24"/>
  <c r="I1507" i="24"/>
  <c r="I1508" i="24"/>
  <c r="I1509" i="24"/>
  <c r="I1510" i="24"/>
  <c r="I1511" i="24"/>
  <c r="I1512" i="24"/>
  <c r="I1513" i="24"/>
  <c r="I1514" i="24"/>
  <c r="I1515" i="24"/>
  <c r="I1516" i="24"/>
  <c r="I1517" i="24"/>
  <c r="I1518" i="24"/>
  <c r="I1519" i="24"/>
  <c r="I1520" i="24"/>
  <c r="I1521" i="24"/>
  <c r="I1522" i="24"/>
  <c r="I1523" i="24"/>
  <c r="I1524" i="24"/>
  <c r="I1525" i="24"/>
  <c r="I1526" i="24"/>
  <c r="I1527" i="24"/>
  <c r="I1528" i="24"/>
  <c r="I1529" i="24"/>
  <c r="I1530" i="24"/>
  <c r="I1531" i="24"/>
  <c r="I1532" i="24"/>
  <c r="I1533" i="24"/>
  <c r="I1534" i="24"/>
  <c r="I1536" i="24"/>
  <c r="I1537" i="24"/>
  <c r="I1538" i="24"/>
  <c r="I1539" i="24"/>
  <c r="I1540" i="24"/>
  <c r="I1541" i="24"/>
  <c r="I1542" i="24"/>
  <c r="I1543" i="24"/>
  <c r="I1544" i="24"/>
  <c r="I1545" i="24"/>
  <c r="I1546" i="24"/>
  <c r="I1547" i="24"/>
  <c r="I1548" i="24"/>
  <c r="I1549" i="24"/>
  <c r="I1550" i="24"/>
  <c r="I1551" i="24"/>
  <c r="I1552" i="24"/>
  <c r="I1553" i="24"/>
  <c r="I1554" i="24"/>
  <c r="I1555" i="24"/>
  <c r="I1556" i="24"/>
  <c r="I1557" i="24"/>
  <c r="I1558" i="24"/>
  <c r="I1559" i="24"/>
  <c r="I1560" i="24"/>
  <c r="I1561" i="24"/>
  <c r="I1562" i="24"/>
  <c r="I1563" i="24"/>
  <c r="I1564" i="24"/>
  <c r="I1565" i="24"/>
  <c r="I1566" i="24"/>
  <c r="I1567" i="24"/>
  <c r="I1568" i="24"/>
  <c r="I1569" i="24"/>
  <c r="I1570" i="24"/>
  <c r="I1571" i="24"/>
  <c r="I1572" i="24"/>
  <c r="I1573" i="24"/>
  <c r="I1574" i="24"/>
  <c r="I1575" i="24"/>
  <c r="I1576" i="24"/>
  <c r="I1577" i="24"/>
  <c r="I1578" i="24"/>
  <c r="I1579" i="24"/>
  <c r="I1580" i="24"/>
  <c r="I1581" i="24"/>
  <c r="I1582" i="24"/>
  <c r="I1583" i="24"/>
  <c r="I1585" i="24"/>
  <c r="I1586" i="24"/>
  <c r="I1587" i="24"/>
  <c r="I1588" i="24"/>
  <c r="I1589" i="24"/>
  <c r="I1590" i="24"/>
  <c r="I1591" i="24"/>
  <c r="I1592" i="24"/>
  <c r="I1593" i="24"/>
  <c r="I1594" i="24"/>
  <c r="I1595" i="24"/>
  <c r="I1596" i="24"/>
  <c r="I1597" i="24"/>
  <c r="I1598" i="24"/>
  <c r="I1599" i="24"/>
  <c r="I1600" i="24"/>
  <c r="I1601" i="24"/>
  <c r="I1602" i="24"/>
  <c r="I1603" i="24"/>
  <c r="I1604" i="24"/>
  <c r="I1605" i="24"/>
  <c r="I1606" i="24"/>
  <c r="I1607" i="24"/>
  <c r="I1608" i="24"/>
  <c r="I1609" i="24"/>
  <c r="I1610" i="24"/>
  <c r="I1611" i="24"/>
  <c r="I1612" i="24"/>
  <c r="I1613" i="24"/>
  <c r="I1614" i="24"/>
  <c r="I1615" i="24"/>
  <c r="I1616" i="24"/>
  <c r="I1617" i="24"/>
  <c r="I1618" i="24"/>
  <c r="I1619" i="24"/>
  <c r="I1620" i="24"/>
  <c r="I1621" i="24"/>
  <c r="I1622" i="24"/>
  <c r="I1623" i="24"/>
  <c r="I1624" i="24"/>
  <c r="I1625" i="24"/>
  <c r="I1626" i="24"/>
  <c r="I1627" i="24"/>
  <c r="I1628" i="24"/>
  <c r="I1629" i="24"/>
  <c r="I1630" i="24"/>
  <c r="I1631" i="24"/>
  <c r="I1632" i="24"/>
  <c r="I1633" i="24"/>
  <c r="I1634" i="24"/>
  <c r="I1635" i="24"/>
  <c r="I1636" i="24"/>
  <c r="I1637" i="24"/>
  <c r="I1638" i="24"/>
  <c r="I1639" i="24"/>
  <c r="I1640" i="24"/>
  <c r="I1641" i="24"/>
  <c r="I1642" i="24"/>
  <c r="I1643" i="24"/>
  <c r="I1644" i="24"/>
  <c r="I1645" i="24"/>
  <c r="I1646" i="24"/>
  <c r="I1647" i="24"/>
  <c r="I1648" i="24"/>
  <c r="I1649" i="24"/>
  <c r="I1650" i="24"/>
  <c r="I1651" i="24"/>
  <c r="I1652" i="24"/>
  <c r="I1653" i="24"/>
  <c r="I1654" i="24"/>
  <c r="I1655" i="24"/>
  <c r="I1656" i="24"/>
  <c r="I1657" i="24"/>
  <c r="I1658" i="24"/>
  <c r="I1659" i="24"/>
  <c r="I1660" i="24"/>
  <c r="I1661" i="24"/>
  <c r="I1662" i="24"/>
  <c r="I1663" i="24"/>
  <c r="I1664" i="24"/>
  <c r="I1665" i="24"/>
  <c r="I1666" i="24"/>
  <c r="I1667" i="24"/>
  <c r="I1668" i="24"/>
  <c r="I1669" i="24"/>
  <c r="I1670" i="24"/>
  <c r="I1671" i="24"/>
  <c r="I1672" i="24"/>
  <c r="I1673" i="24"/>
  <c r="I1674" i="24"/>
  <c r="I1675" i="24"/>
  <c r="I1676" i="24"/>
  <c r="I1677" i="24"/>
  <c r="I1678" i="24"/>
  <c r="I1679" i="24"/>
  <c r="I1680" i="24"/>
  <c r="I1681" i="24"/>
  <c r="I1682" i="24"/>
  <c r="I1683" i="24"/>
  <c r="I1684" i="24"/>
  <c r="I1685" i="24"/>
  <c r="I1686" i="24"/>
  <c r="I1687" i="24"/>
  <c r="I1688" i="24"/>
  <c r="I1689" i="24"/>
  <c r="I1690" i="24"/>
  <c r="I1691" i="24"/>
  <c r="I1692" i="24"/>
  <c r="I1693" i="24"/>
  <c r="I1694" i="24"/>
  <c r="I1695" i="24"/>
  <c r="I1696" i="24"/>
  <c r="I1697" i="24"/>
  <c r="I1698" i="24"/>
  <c r="I1699" i="24"/>
  <c r="I1700" i="24"/>
  <c r="I1701" i="24"/>
  <c r="I1702" i="24"/>
  <c r="I1703" i="24"/>
  <c r="I1704" i="24"/>
  <c r="I1705" i="24"/>
  <c r="I1706" i="24"/>
  <c r="I1707" i="24"/>
  <c r="I1708" i="24"/>
  <c r="I1709" i="24"/>
  <c r="I1710" i="24"/>
  <c r="I1711" i="24"/>
  <c r="I1712" i="24"/>
  <c r="I1713" i="24"/>
  <c r="I1714" i="24"/>
  <c r="I1715" i="24"/>
  <c r="I1716" i="24"/>
  <c r="I1717" i="24"/>
  <c r="I1718" i="24"/>
  <c r="I1719" i="24"/>
  <c r="I1720" i="24"/>
  <c r="I1721" i="24"/>
  <c r="I1722" i="24"/>
  <c r="I1723" i="24"/>
  <c r="I1724" i="24"/>
  <c r="I1725" i="24"/>
  <c r="I1726" i="24"/>
  <c r="I1727" i="24"/>
  <c r="I1728" i="24"/>
  <c r="I1729" i="24"/>
  <c r="I1730" i="24"/>
  <c r="I1731" i="24"/>
  <c r="I1732" i="24"/>
  <c r="I1733" i="24"/>
  <c r="I1734" i="24"/>
  <c r="I1735" i="24"/>
  <c r="I1736" i="24"/>
  <c r="I1737" i="24"/>
  <c r="I1738" i="24"/>
  <c r="I1739" i="24"/>
  <c r="I1740" i="24"/>
  <c r="I1741" i="24"/>
  <c r="I1742" i="24"/>
  <c r="I1743" i="24"/>
  <c r="I1744" i="24"/>
  <c r="I1745" i="24"/>
  <c r="I1746" i="24"/>
  <c r="I1747" i="24"/>
  <c r="I1748" i="24"/>
  <c r="I1749" i="24"/>
  <c r="I1750" i="24"/>
  <c r="I1751" i="24"/>
  <c r="I1752" i="24"/>
  <c r="I1753" i="24"/>
  <c r="I1754" i="24"/>
  <c r="I1755" i="24"/>
  <c r="I1756" i="24"/>
  <c r="I1757" i="24"/>
  <c r="I1758" i="24"/>
  <c r="I1759" i="24"/>
  <c r="I1760" i="24"/>
  <c r="I1761" i="24"/>
  <c r="I1762" i="24"/>
  <c r="I1763" i="24"/>
  <c r="I1764" i="24"/>
  <c r="I1765" i="24"/>
  <c r="I1766" i="24"/>
  <c r="I1767" i="24"/>
  <c r="I1768" i="24"/>
  <c r="I1769" i="24"/>
  <c r="I1770" i="24"/>
  <c r="I1771" i="24"/>
  <c r="I1772" i="24"/>
  <c r="I1773" i="24"/>
  <c r="I1774" i="24"/>
  <c r="I1775" i="24"/>
  <c r="I1776" i="24"/>
  <c r="I1777" i="24"/>
  <c r="I1778" i="24"/>
  <c r="I1779" i="24"/>
  <c r="I1780" i="24"/>
  <c r="I1782" i="24"/>
  <c r="I1783" i="24"/>
  <c r="I1784" i="24"/>
  <c r="I1785" i="24"/>
  <c r="I1786" i="24"/>
  <c r="I1787" i="24"/>
  <c r="I1788" i="24"/>
  <c r="I1789" i="24"/>
  <c r="I1790" i="24"/>
  <c r="I1791" i="24"/>
  <c r="I1792" i="24"/>
  <c r="I1793" i="24"/>
  <c r="I1794" i="24"/>
  <c r="I1795" i="24"/>
  <c r="I1796" i="24"/>
  <c r="I1797" i="24"/>
  <c r="I1798" i="24"/>
  <c r="I1799" i="24"/>
  <c r="I1800" i="24"/>
  <c r="I1801" i="24"/>
  <c r="I1802" i="24"/>
  <c r="I1803" i="24"/>
  <c r="I1804" i="24"/>
  <c r="I1805" i="24"/>
  <c r="I1806" i="24"/>
  <c r="I1807" i="24"/>
  <c r="I1808" i="24"/>
  <c r="I1809" i="24"/>
  <c r="I1810" i="24"/>
  <c r="I1811" i="24"/>
  <c r="I1812" i="24"/>
  <c r="I1813" i="24"/>
  <c r="I1814" i="24"/>
  <c r="I1815" i="24"/>
  <c r="I1816" i="24"/>
  <c r="I1817" i="24"/>
  <c r="I1818" i="24"/>
  <c r="I1819" i="24"/>
  <c r="I1820" i="24"/>
  <c r="I1821" i="24"/>
  <c r="I1822" i="24"/>
  <c r="I1823" i="24"/>
  <c r="I1824" i="24"/>
  <c r="I1825" i="24"/>
  <c r="I1826" i="24"/>
  <c r="I1827" i="24"/>
  <c r="I1828" i="24"/>
  <c r="I1829" i="24"/>
  <c r="I1830" i="24"/>
  <c r="I1831" i="24"/>
  <c r="I1832" i="24"/>
  <c r="I1833" i="24"/>
  <c r="I1834" i="24"/>
  <c r="I1835" i="24"/>
  <c r="I1836" i="24"/>
  <c r="I1837" i="24"/>
  <c r="I1838" i="24"/>
  <c r="I1839" i="24"/>
  <c r="I1840" i="24"/>
  <c r="I1841" i="24"/>
  <c r="I1842" i="24"/>
  <c r="I1843" i="24"/>
  <c r="I1844" i="24"/>
  <c r="I1845" i="24"/>
  <c r="I1846" i="24"/>
  <c r="I1847" i="24"/>
  <c r="I1848" i="24"/>
  <c r="I1849" i="24"/>
  <c r="I1850" i="24"/>
  <c r="I1851" i="24"/>
  <c r="I1852" i="24"/>
  <c r="I1853" i="24"/>
  <c r="I1854" i="24"/>
  <c r="I1855" i="24"/>
  <c r="I1856" i="24"/>
  <c r="I1857" i="24"/>
  <c r="I1858" i="24"/>
  <c r="I1859" i="24"/>
  <c r="I1860" i="24"/>
  <c r="I1861" i="24"/>
  <c r="I1862" i="24"/>
  <c r="I1863" i="24"/>
  <c r="I1864" i="24"/>
  <c r="I1865" i="24"/>
  <c r="I1866" i="24"/>
  <c r="I1867" i="24"/>
  <c r="I1868" i="24"/>
  <c r="I1869" i="24"/>
  <c r="I1870" i="24"/>
  <c r="I1871" i="24"/>
  <c r="I1872" i="24"/>
  <c r="I1873" i="24"/>
  <c r="I1874" i="24"/>
  <c r="I1875" i="24"/>
  <c r="I1877" i="24"/>
  <c r="I1878" i="24"/>
  <c r="I1879" i="24"/>
  <c r="I1880" i="24"/>
  <c r="I1881" i="24"/>
  <c r="I1882" i="24"/>
  <c r="I1883" i="24"/>
  <c r="I1884" i="24"/>
  <c r="I1885" i="24"/>
  <c r="I1886" i="24"/>
  <c r="I1887" i="24"/>
  <c r="I1888" i="24"/>
  <c r="I1889" i="24"/>
  <c r="I1890" i="24"/>
  <c r="I1891" i="24"/>
  <c r="I1892" i="24"/>
  <c r="I1893" i="24"/>
  <c r="I1894" i="24"/>
  <c r="I1895" i="24"/>
  <c r="I1896" i="24"/>
  <c r="I1897" i="24"/>
  <c r="I1898" i="24"/>
  <c r="I1899" i="24"/>
  <c r="I1900" i="24"/>
  <c r="I1901" i="24"/>
  <c r="I1902" i="24"/>
  <c r="I1903" i="24"/>
  <c r="I1904" i="24"/>
  <c r="I1905" i="24"/>
  <c r="I1906" i="24"/>
  <c r="I1907" i="24"/>
  <c r="I1908" i="24"/>
  <c r="I1909" i="24"/>
  <c r="I1910" i="24"/>
  <c r="I1911" i="24"/>
  <c r="I1912" i="24"/>
  <c r="I1913" i="24"/>
  <c r="I1914" i="24"/>
  <c r="I1915" i="24"/>
  <c r="I1916" i="24"/>
  <c r="I1917" i="24"/>
  <c r="I1918" i="24"/>
  <c r="I1919" i="24"/>
  <c r="I1920" i="24"/>
  <c r="I1921" i="24"/>
  <c r="I1922" i="24"/>
  <c r="I1923" i="24"/>
  <c r="I1924" i="24"/>
  <c r="I1925" i="24"/>
  <c r="I1926" i="24"/>
  <c r="I1927" i="24"/>
  <c r="I1928" i="24"/>
  <c r="I1929" i="24"/>
  <c r="I1930" i="24"/>
  <c r="I1931" i="24"/>
  <c r="I1932" i="24"/>
  <c r="I1933" i="24"/>
  <c r="I1934" i="24"/>
  <c r="I1935" i="24"/>
  <c r="I1936" i="24"/>
  <c r="I1937" i="24"/>
  <c r="I1938" i="24"/>
  <c r="I1939" i="24"/>
  <c r="I1940" i="24"/>
  <c r="I1941" i="24"/>
  <c r="I1942" i="24"/>
  <c r="I1943" i="24"/>
  <c r="I1944" i="24"/>
  <c r="I1945" i="24"/>
  <c r="I1946" i="24"/>
  <c r="I1947" i="24"/>
  <c r="I1948" i="24"/>
  <c r="I1949" i="24"/>
  <c r="I1950" i="24"/>
  <c r="I1951" i="24"/>
  <c r="I1952" i="24"/>
  <c r="I1953" i="24"/>
  <c r="I1954" i="24"/>
  <c r="I1955" i="24"/>
  <c r="I1956" i="24"/>
  <c r="I1957" i="24"/>
  <c r="I1958" i="24"/>
  <c r="I1959" i="24"/>
  <c r="I1960" i="24"/>
  <c r="I1961" i="24"/>
  <c r="I1962" i="24"/>
  <c r="I1963" i="24"/>
  <c r="I1964" i="24"/>
  <c r="I1965" i="24"/>
  <c r="I1966" i="24"/>
  <c r="I1967" i="24"/>
  <c r="I1968" i="24"/>
  <c r="I1969" i="24"/>
  <c r="I1971" i="24"/>
  <c r="I1972" i="24"/>
  <c r="I1973" i="24"/>
  <c r="I1974" i="24"/>
  <c r="I1975" i="24"/>
  <c r="I1976" i="24"/>
  <c r="I1977" i="24"/>
  <c r="I1978" i="24"/>
  <c r="I1979" i="24"/>
  <c r="I1980" i="24"/>
  <c r="I1981" i="24"/>
  <c r="I1982" i="24"/>
  <c r="I1983" i="24"/>
  <c r="I1984" i="24"/>
  <c r="I1985" i="24"/>
  <c r="I1986" i="24"/>
  <c r="I1987" i="24"/>
  <c r="I1988" i="24"/>
  <c r="I1989" i="24"/>
  <c r="I1990" i="24"/>
  <c r="I1991" i="24"/>
  <c r="I1992" i="24"/>
  <c r="I1993" i="24"/>
  <c r="I1994" i="24"/>
  <c r="I1995" i="24"/>
  <c r="I1996" i="24"/>
  <c r="I1997" i="24"/>
  <c r="I1998" i="24"/>
  <c r="I1999" i="24"/>
  <c r="I2000" i="24"/>
  <c r="I2001" i="24"/>
  <c r="I2002" i="24"/>
  <c r="I2003" i="24"/>
  <c r="I2004" i="24"/>
  <c r="I2005" i="24"/>
  <c r="I2006" i="24"/>
  <c r="I2007" i="24"/>
  <c r="I2008" i="24"/>
  <c r="I2009" i="24"/>
  <c r="I2010" i="24"/>
  <c r="I2011" i="24"/>
  <c r="I2012" i="24"/>
  <c r="I2013" i="24"/>
  <c r="I2014" i="24"/>
  <c r="I2015" i="24"/>
  <c r="I2016" i="24"/>
  <c r="I2017" i="24"/>
  <c r="I2018" i="24"/>
  <c r="I2019" i="24"/>
  <c r="I2020" i="24"/>
  <c r="I2021" i="24"/>
  <c r="I2022" i="24"/>
  <c r="I2023" i="24"/>
  <c r="I2024" i="24"/>
  <c r="I2025" i="24"/>
  <c r="I2026" i="24"/>
  <c r="I2027" i="24"/>
  <c r="I2028" i="24"/>
  <c r="I2029" i="24"/>
  <c r="I2030" i="24"/>
  <c r="I2031" i="24"/>
  <c r="I2032" i="24"/>
  <c r="I2033" i="24"/>
  <c r="I2034" i="24"/>
  <c r="I2035" i="24"/>
  <c r="I2036" i="24"/>
  <c r="I2037" i="24"/>
  <c r="I2038" i="24"/>
  <c r="I2039" i="24"/>
  <c r="I2040" i="24"/>
  <c r="I2041" i="24"/>
  <c r="I2042" i="24"/>
  <c r="I2043" i="24"/>
  <c r="I2044" i="24"/>
  <c r="I2045" i="24"/>
  <c r="I2046" i="24"/>
  <c r="I2048" i="24"/>
  <c r="I2049" i="24"/>
  <c r="I2050" i="24"/>
  <c r="I2051" i="24"/>
  <c r="I2052" i="24"/>
  <c r="I2053" i="24"/>
  <c r="I2054" i="24"/>
  <c r="I2055" i="24"/>
  <c r="I2056" i="24"/>
  <c r="I2057" i="24"/>
  <c r="I2058" i="24"/>
  <c r="I2059" i="24"/>
  <c r="I2060" i="24"/>
  <c r="I2061" i="24"/>
  <c r="I2062" i="24"/>
  <c r="I2063" i="24"/>
  <c r="I2064" i="24"/>
  <c r="I2065" i="24"/>
  <c r="I2066" i="24"/>
  <c r="I2067" i="24"/>
  <c r="I2068" i="24"/>
  <c r="I2069" i="24"/>
  <c r="I2070" i="24"/>
  <c r="I2071" i="24"/>
  <c r="I2072" i="24"/>
  <c r="I2073" i="24"/>
  <c r="I2074" i="24"/>
  <c r="I2075" i="24"/>
  <c r="I2076" i="24"/>
  <c r="I2077" i="24"/>
  <c r="I2078" i="24"/>
  <c r="I2079" i="24"/>
  <c r="I2080" i="24"/>
  <c r="I2081" i="24"/>
  <c r="I2082" i="24"/>
  <c r="I2083" i="24"/>
  <c r="I2084" i="24"/>
  <c r="I2085" i="24"/>
  <c r="I2086" i="24"/>
  <c r="I2087" i="24"/>
  <c r="I2088" i="24"/>
  <c r="I2089" i="24"/>
  <c r="I2090" i="24"/>
  <c r="I2091" i="24"/>
  <c r="I2092" i="24"/>
  <c r="I2093" i="24"/>
  <c r="I2094" i="24"/>
  <c r="I2095" i="24"/>
  <c r="I2096" i="24"/>
  <c r="I2097" i="24"/>
  <c r="I2098" i="24"/>
  <c r="I2099" i="24"/>
  <c r="I2100" i="24"/>
  <c r="I2101" i="24"/>
  <c r="I2102" i="24"/>
  <c r="I2103" i="24"/>
  <c r="I2104" i="24"/>
  <c r="I2105" i="24"/>
  <c r="I2106" i="24"/>
  <c r="I2107" i="24"/>
  <c r="I2108" i="24"/>
  <c r="I2109" i="24"/>
  <c r="I2110" i="24"/>
  <c r="I2111" i="24"/>
  <c r="I2112" i="24"/>
  <c r="I2113" i="24"/>
  <c r="I2114" i="24"/>
  <c r="I2115" i="24"/>
  <c r="I2116" i="24"/>
  <c r="I2117" i="24"/>
  <c r="I2118" i="24"/>
  <c r="I2119" i="24"/>
  <c r="I2120" i="24"/>
  <c r="I2121" i="24"/>
  <c r="I2122" i="24"/>
  <c r="I2123" i="24"/>
  <c r="I2124" i="24"/>
  <c r="I2125" i="24"/>
  <c r="I2126" i="24"/>
  <c r="I2127" i="24"/>
  <c r="I2128" i="24"/>
  <c r="I2129" i="24"/>
  <c r="I2130" i="24"/>
  <c r="I2131" i="24"/>
  <c r="I2132" i="24"/>
  <c r="I2134" i="24"/>
  <c r="I2135" i="24"/>
  <c r="I2136" i="24"/>
  <c r="I2137" i="24"/>
  <c r="I2138" i="24"/>
  <c r="I2139" i="24"/>
  <c r="I2140" i="24"/>
  <c r="I2141" i="24"/>
  <c r="I2142" i="24"/>
  <c r="I2143" i="24"/>
  <c r="I2144" i="24"/>
  <c r="I2145" i="24"/>
  <c r="I2146" i="24"/>
  <c r="I2147" i="24"/>
  <c r="I2148" i="24"/>
  <c r="I2149" i="24"/>
  <c r="I2150" i="24"/>
  <c r="I2151" i="24"/>
  <c r="I2152" i="24"/>
  <c r="I2153" i="24"/>
  <c r="I2154" i="24"/>
  <c r="I2155" i="24"/>
  <c r="I2156" i="24"/>
  <c r="I2157" i="24"/>
  <c r="I2158" i="24"/>
  <c r="I2159" i="24"/>
  <c r="I2160" i="24"/>
  <c r="I2161" i="24"/>
  <c r="I2162" i="24"/>
  <c r="I2163" i="24"/>
  <c r="I2164" i="24"/>
  <c r="I2165" i="24"/>
  <c r="I2166" i="24"/>
  <c r="I2167" i="24"/>
  <c r="I2168" i="24"/>
  <c r="I2169" i="24"/>
  <c r="I2170" i="24"/>
  <c r="I2171" i="24"/>
  <c r="I2172" i="24"/>
  <c r="I2173" i="24"/>
  <c r="I2174" i="24"/>
  <c r="I2175" i="24"/>
  <c r="I2176" i="24"/>
  <c r="I2177" i="24"/>
  <c r="I2178" i="24"/>
  <c r="I2179" i="24"/>
  <c r="I2180" i="24"/>
  <c r="I2181" i="24"/>
  <c r="I2182" i="24"/>
  <c r="I2183" i="24"/>
  <c r="I2184" i="24"/>
  <c r="I2185" i="24"/>
  <c r="I2186" i="24"/>
  <c r="I2187" i="24"/>
  <c r="I2188" i="24"/>
  <c r="I2189" i="24"/>
  <c r="I2190" i="24"/>
  <c r="I2191" i="24"/>
  <c r="I2192" i="24"/>
  <c r="I2193" i="24"/>
  <c r="I2194" i="24"/>
  <c r="I2195" i="24"/>
  <c r="I2196" i="24"/>
  <c r="I2197" i="24"/>
  <c r="I2198" i="24"/>
  <c r="I2199" i="24"/>
  <c r="I2200" i="24"/>
  <c r="I2201" i="24"/>
  <c r="I2202" i="24"/>
  <c r="I2203" i="24"/>
  <c r="I2204" i="24"/>
  <c r="I2205" i="24"/>
  <c r="I2206" i="24"/>
  <c r="I2207" i="24"/>
  <c r="I2208" i="24"/>
  <c r="I2209" i="24"/>
  <c r="I2210" i="24"/>
  <c r="I2211" i="24"/>
  <c r="I2213" i="24"/>
  <c r="I2214" i="24"/>
  <c r="I2215" i="24"/>
  <c r="I2216" i="24"/>
  <c r="I2217" i="24"/>
  <c r="I2218" i="24"/>
  <c r="I2219" i="24"/>
  <c r="I2220" i="24"/>
  <c r="I2221" i="24"/>
  <c r="I2222" i="24"/>
  <c r="I2223" i="24"/>
  <c r="I2224" i="24"/>
  <c r="I2225" i="24"/>
  <c r="I2226" i="24"/>
  <c r="I2227" i="24"/>
  <c r="I2228" i="24"/>
  <c r="I2229" i="24"/>
  <c r="I2230" i="24"/>
  <c r="I2231" i="24"/>
  <c r="I2232" i="24"/>
  <c r="I2233" i="24"/>
  <c r="I2234" i="24"/>
  <c r="I2235" i="24"/>
  <c r="I2236" i="24"/>
  <c r="I2237" i="24"/>
  <c r="I2238" i="24"/>
  <c r="I2239" i="24"/>
  <c r="I2240" i="24"/>
  <c r="I2241" i="24"/>
  <c r="I2242" i="24"/>
  <c r="I2243" i="24"/>
  <c r="I2244" i="24"/>
  <c r="I2245" i="24"/>
  <c r="I2246" i="24"/>
  <c r="I2247" i="24"/>
  <c r="I2248" i="24"/>
  <c r="I2249" i="24"/>
  <c r="I2250" i="24"/>
  <c r="I2251" i="24"/>
  <c r="I2252" i="24"/>
  <c r="I2253" i="24"/>
  <c r="I2254" i="24"/>
  <c r="I2255" i="24"/>
  <c r="I2256" i="24"/>
  <c r="I2257" i="24"/>
  <c r="I2258" i="24"/>
  <c r="I2259" i="24"/>
  <c r="I2260" i="24"/>
  <c r="I2261" i="24"/>
  <c r="I2262" i="24"/>
  <c r="I2263" i="24"/>
  <c r="I2264" i="24"/>
  <c r="I2265" i="24"/>
  <c r="I2266" i="24"/>
  <c r="I2267" i="24"/>
  <c r="I2268" i="24"/>
  <c r="I2269" i="24"/>
  <c r="I2270" i="24"/>
  <c r="I2271" i="24"/>
  <c r="I2272" i="24"/>
  <c r="I2273" i="24"/>
  <c r="I2274" i="24"/>
  <c r="I2275" i="24"/>
  <c r="I2276" i="24"/>
  <c r="I2277" i="24"/>
  <c r="I2278" i="24"/>
  <c r="I2279" i="24"/>
  <c r="I2280" i="24"/>
  <c r="I2281" i="24"/>
  <c r="I2282" i="24"/>
  <c r="I2283" i="24"/>
  <c r="I2284" i="24"/>
  <c r="I2285" i="24"/>
  <c r="I2286" i="24"/>
  <c r="I2287" i="24"/>
  <c r="I2288" i="24"/>
  <c r="I2289" i="24"/>
  <c r="I2290" i="24"/>
  <c r="I2291" i="24"/>
  <c r="I2292" i="24"/>
  <c r="I2293" i="24"/>
  <c r="I2294" i="24"/>
  <c r="I2295" i="24"/>
  <c r="I2296" i="24"/>
  <c r="I2297" i="24"/>
  <c r="I2298" i="24"/>
  <c r="I2299" i="24"/>
  <c r="I2300" i="24"/>
  <c r="I2301" i="24"/>
  <c r="I2302" i="24"/>
  <c r="I2303" i="24"/>
  <c r="I2304" i="24"/>
  <c r="I2305" i="24"/>
  <c r="I2306" i="24"/>
  <c r="I2307" i="24"/>
  <c r="I2308" i="24"/>
  <c r="I2309" i="24"/>
  <c r="I2310" i="24"/>
  <c r="I2311" i="24"/>
  <c r="I2312" i="24"/>
  <c r="I2313" i="24"/>
  <c r="I2314" i="24"/>
  <c r="I2315" i="24"/>
  <c r="I2316" i="24"/>
  <c r="I2317" i="24"/>
  <c r="I2318" i="24"/>
  <c r="I2319" i="24"/>
  <c r="I2320" i="24"/>
  <c r="I2321" i="24"/>
  <c r="I2322" i="24"/>
  <c r="I2323" i="24"/>
  <c r="I2324" i="24"/>
  <c r="I2325" i="24"/>
  <c r="I2326" i="24"/>
  <c r="I2327" i="24"/>
  <c r="I2328" i="24"/>
  <c r="I2329" i="24"/>
  <c r="I2330" i="24"/>
  <c r="I2331" i="24"/>
  <c r="I2332" i="24"/>
  <c r="I2333" i="24"/>
  <c r="I2334" i="24"/>
  <c r="I2335" i="24"/>
  <c r="I2336" i="24"/>
  <c r="I2337" i="24"/>
  <c r="I2338" i="24"/>
  <c r="I2339" i="24"/>
  <c r="I2340" i="24"/>
  <c r="I2341" i="24"/>
  <c r="I2342" i="24"/>
  <c r="I2343" i="24"/>
  <c r="I2344" i="24"/>
  <c r="I2345" i="24"/>
  <c r="I2346" i="24"/>
  <c r="I2347" i="24"/>
  <c r="I2348" i="24"/>
  <c r="I2349" i="24"/>
  <c r="I2350" i="24"/>
  <c r="I2351" i="24"/>
  <c r="I2352" i="24"/>
  <c r="I2354" i="24"/>
  <c r="I2355" i="24"/>
  <c r="I2356" i="24"/>
  <c r="I2357" i="24"/>
  <c r="I2358" i="24"/>
  <c r="I2359" i="24"/>
  <c r="I2360" i="24"/>
  <c r="I2361" i="24"/>
  <c r="I2362" i="24"/>
  <c r="I2363" i="24"/>
  <c r="I2364" i="24"/>
  <c r="I2365" i="24"/>
  <c r="I2366" i="24"/>
  <c r="I2367" i="24"/>
  <c r="I2368" i="24"/>
  <c r="I2369" i="24"/>
  <c r="I2370" i="24"/>
  <c r="I2371" i="24"/>
  <c r="I2372" i="24"/>
  <c r="I2373" i="24"/>
  <c r="I2374" i="24"/>
  <c r="I2375" i="24"/>
  <c r="I2376" i="24"/>
  <c r="I2377" i="24"/>
  <c r="I2378" i="24"/>
  <c r="I2379" i="24"/>
  <c r="I2380" i="24"/>
  <c r="I2381" i="24"/>
  <c r="I2382" i="24"/>
  <c r="I2383" i="24"/>
  <c r="I2384" i="24"/>
  <c r="I2385" i="24"/>
  <c r="I2386" i="24"/>
  <c r="I2387" i="24"/>
  <c r="I2388" i="24"/>
  <c r="I2389" i="24"/>
  <c r="I2390" i="24"/>
  <c r="I2391" i="24"/>
  <c r="I2392" i="24"/>
  <c r="I2393" i="24"/>
  <c r="I2394" i="24"/>
  <c r="I2395" i="24"/>
  <c r="I2396" i="24"/>
  <c r="I2397" i="24"/>
  <c r="I2398" i="24"/>
  <c r="I2399" i="24"/>
  <c r="I2400" i="24"/>
  <c r="I2401" i="24"/>
  <c r="I2402" i="24"/>
  <c r="I2403" i="24"/>
  <c r="I2404" i="24"/>
  <c r="I2405" i="24"/>
  <c r="I2406" i="24"/>
  <c r="I2407" i="24"/>
  <c r="I2408" i="24"/>
  <c r="I2409" i="24"/>
  <c r="I2410" i="24"/>
  <c r="I2411" i="24"/>
  <c r="I2412" i="24"/>
  <c r="I2413" i="24"/>
  <c r="I2414" i="24"/>
  <c r="I2415" i="24"/>
  <c r="I2416" i="24"/>
  <c r="I2417" i="24"/>
  <c r="I2418" i="24"/>
  <c r="I2419" i="24"/>
  <c r="I2420" i="24"/>
  <c r="I2421" i="24"/>
  <c r="I2422" i="24"/>
  <c r="I2423" i="24"/>
  <c r="I2424" i="24"/>
  <c r="I2426" i="24"/>
  <c r="I2427" i="24"/>
  <c r="I2428" i="24"/>
  <c r="I2429" i="24"/>
  <c r="I2430" i="24"/>
  <c r="I2431" i="24"/>
  <c r="I2433" i="24"/>
  <c r="I2434" i="24"/>
  <c r="I2435" i="24"/>
  <c r="I2436" i="24"/>
  <c r="I2437" i="24"/>
  <c r="I2439" i="24"/>
  <c r="I2440" i="24"/>
  <c r="I2442" i="24"/>
  <c r="I2443" i="24"/>
  <c r="I2444" i="24"/>
  <c r="I2445" i="24"/>
  <c r="I2446" i="24"/>
  <c r="I2447" i="24"/>
  <c r="I2448" i="24"/>
  <c r="I2449" i="24"/>
  <c r="I2450" i="24"/>
  <c r="I2451" i="24"/>
  <c r="I2452" i="24"/>
  <c r="I2453" i="24"/>
  <c r="I2454" i="24"/>
  <c r="I2455" i="24"/>
  <c r="I2456" i="24"/>
  <c r="I2457" i="24"/>
  <c r="I2458" i="24"/>
  <c r="I2459" i="24"/>
  <c r="I2460" i="24"/>
  <c r="I2461" i="24"/>
  <c r="I2462" i="24"/>
  <c r="I2463" i="24"/>
  <c r="I2464" i="24"/>
  <c r="I2465" i="24"/>
  <c r="I2466" i="24"/>
  <c r="I2467" i="24"/>
  <c r="I2468" i="24"/>
  <c r="I2469" i="24"/>
  <c r="I2470" i="24"/>
  <c r="I2471" i="24"/>
  <c r="I2472" i="24"/>
  <c r="I2474" i="24"/>
  <c r="I2475" i="24"/>
  <c r="I2476" i="24"/>
  <c r="I2477" i="24"/>
  <c r="I2478" i="24"/>
  <c r="I2479" i="24"/>
  <c r="I2480" i="24"/>
  <c r="I2481" i="24"/>
  <c r="I2482" i="24"/>
  <c r="I2485" i="24"/>
  <c r="I2486" i="24"/>
  <c r="I2487" i="24"/>
  <c r="I2488" i="24"/>
  <c r="I2489" i="24"/>
  <c r="I2490" i="24"/>
  <c r="I2491" i="24"/>
  <c r="I2492" i="24"/>
  <c r="I2493" i="24"/>
  <c r="I2494" i="24"/>
  <c r="I2495" i="24"/>
  <c r="I2496" i="24"/>
  <c r="I2497" i="24"/>
  <c r="I2498" i="24"/>
  <c r="I2499" i="24"/>
  <c r="I2500" i="24"/>
  <c r="I2501" i="24"/>
  <c r="I2502" i="24"/>
  <c r="I2503" i="24"/>
  <c r="I2504" i="24"/>
  <c r="I2505" i="24"/>
  <c r="I2506" i="24"/>
  <c r="I2507" i="24"/>
  <c r="I2508" i="24"/>
  <c r="I2509" i="24"/>
  <c r="I2510" i="24"/>
  <c r="I2511" i="24"/>
  <c r="I2512" i="24"/>
  <c r="I2513" i="24"/>
  <c r="I2514" i="24"/>
  <c r="I2515" i="24"/>
  <c r="I2516" i="24"/>
  <c r="I2517" i="24"/>
  <c r="I2518" i="24"/>
  <c r="I2519" i="24"/>
  <c r="I2520" i="24"/>
  <c r="I2521" i="24"/>
  <c r="I2522" i="24"/>
  <c r="I2523" i="24"/>
  <c r="I2524" i="24"/>
  <c r="I2525" i="24"/>
  <c r="I2526" i="24"/>
  <c r="I2527" i="24"/>
  <c r="I2528" i="24"/>
  <c r="I2529" i="24"/>
  <c r="I2530" i="24"/>
  <c r="I2531" i="24"/>
  <c r="I2532" i="24"/>
  <c r="I2533" i="24"/>
  <c r="I2534" i="24"/>
  <c r="I2535" i="24"/>
  <c r="I2536" i="24"/>
  <c r="I2537" i="24"/>
  <c r="I2538" i="24"/>
  <c r="I2540" i="24"/>
  <c r="I2541" i="24"/>
  <c r="I2542" i="24"/>
  <c r="I2543" i="24"/>
  <c r="I2544" i="24"/>
  <c r="I2546" i="24"/>
  <c r="I2547" i="24"/>
  <c r="I2549" i="24"/>
  <c r="I2550" i="24"/>
  <c r="I2552" i="24"/>
  <c r="I2553" i="24"/>
  <c r="I2554" i="24"/>
  <c r="I2555" i="24"/>
  <c r="I2556" i="24"/>
  <c r="I2557" i="24"/>
  <c r="I2558" i="24"/>
  <c r="I2559" i="24"/>
  <c r="I2560" i="24"/>
  <c r="I2561" i="24"/>
  <c r="I2562" i="24"/>
  <c r="I2563" i="24"/>
  <c r="I2564" i="24"/>
  <c r="I2565" i="24"/>
  <c r="I2566" i="24"/>
  <c r="I2567" i="24"/>
  <c r="I2568" i="24"/>
  <c r="I2569" i="24"/>
  <c r="I2570" i="24"/>
  <c r="I2571" i="24"/>
  <c r="I2572" i="24"/>
  <c r="I2573" i="24"/>
  <c r="I2574" i="24"/>
  <c r="I2575" i="24"/>
  <c r="I2576" i="24"/>
  <c r="I2577" i="24"/>
  <c r="I2578" i="24"/>
  <c r="I2579" i="24"/>
  <c r="I2580" i="24"/>
  <c r="I2581" i="24"/>
  <c r="I2582" i="24"/>
  <c r="I2583" i="24"/>
  <c r="I2584" i="24"/>
  <c r="I2585" i="24"/>
  <c r="I2587" i="24"/>
  <c r="I2588" i="24"/>
  <c r="I2589" i="24"/>
  <c r="I2590" i="24"/>
  <c r="I2591" i="24"/>
  <c r="I2592" i="24"/>
  <c r="I2593" i="24"/>
  <c r="I2594" i="24"/>
  <c r="I2595" i="24"/>
  <c r="I2596" i="24"/>
  <c r="I2597" i="24"/>
  <c r="I2598" i="24"/>
  <c r="I2599" i="24"/>
  <c r="I2600" i="24"/>
  <c r="I2601" i="24"/>
  <c r="I2602" i="24"/>
  <c r="I2603" i="24"/>
  <c r="I2604" i="24"/>
  <c r="I2605" i="24"/>
  <c r="I2606" i="24"/>
  <c r="I2607" i="24"/>
  <c r="I2608" i="24"/>
  <c r="I2609" i="24"/>
  <c r="I2610" i="24"/>
  <c r="I2611" i="24"/>
  <c r="I2612" i="24"/>
  <c r="I2613" i="24"/>
  <c r="I2614" i="24"/>
  <c r="I2615" i="24"/>
  <c r="I2616" i="24"/>
  <c r="I2617" i="24"/>
  <c r="I2618" i="24"/>
  <c r="I2619" i="24"/>
  <c r="I2620" i="24"/>
  <c r="I2622" i="24"/>
  <c r="I2623" i="24"/>
  <c r="I2624" i="24"/>
  <c r="I2625" i="24"/>
  <c r="I2626" i="24"/>
  <c r="I2627" i="24"/>
  <c r="I2628" i="24"/>
  <c r="I2629" i="24"/>
  <c r="I2630" i="24"/>
  <c r="I2631" i="24"/>
  <c r="I2632" i="24"/>
  <c r="I2633" i="24"/>
  <c r="I2634" i="24"/>
  <c r="I2635" i="24"/>
  <c r="I2636" i="24"/>
  <c r="I2637" i="24"/>
  <c r="I2638" i="24"/>
  <c r="I2639" i="24"/>
  <c r="I2640" i="24"/>
  <c r="I2641" i="24"/>
  <c r="I2642" i="24"/>
  <c r="I2643" i="24"/>
  <c r="I2644" i="24"/>
  <c r="I2645" i="24"/>
  <c r="I2646" i="24"/>
  <c r="I2647" i="24"/>
  <c r="I2648" i="24"/>
  <c r="I2649" i="24"/>
  <c r="I2650" i="24"/>
  <c r="I2651" i="24"/>
  <c r="I2652" i="24"/>
  <c r="I2653" i="24"/>
  <c r="I2654" i="24"/>
  <c r="I2655" i="24"/>
  <c r="I2656" i="24"/>
  <c r="I2657" i="24"/>
  <c r="I2658" i="24"/>
  <c r="I2659" i="24"/>
  <c r="I2660" i="24"/>
  <c r="I2661" i="24"/>
  <c r="I2662" i="24"/>
  <c r="I2663" i="24"/>
  <c r="I2664" i="24"/>
  <c r="I2665" i="24"/>
  <c r="I2666" i="24"/>
  <c r="I2667" i="24"/>
  <c r="I2668" i="24"/>
  <c r="I2669" i="24"/>
  <c r="I2671" i="24"/>
  <c r="I2672" i="24"/>
  <c r="I2673" i="24"/>
  <c r="I2674" i="24"/>
  <c r="I2675" i="24"/>
  <c r="I2676" i="24"/>
  <c r="I2678" i="24"/>
  <c r="I2679" i="24"/>
  <c r="I2680" i="24"/>
  <c r="I2681" i="24"/>
  <c r="I2682" i="24"/>
  <c r="I2683" i="24"/>
  <c r="I2684" i="24"/>
  <c r="I2685" i="24"/>
  <c r="I2686" i="24"/>
  <c r="I2687" i="24"/>
  <c r="I2688" i="24"/>
  <c r="I2689" i="24"/>
  <c r="I2690" i="24"/>
  <c r="I2691" i="24"/>
  <c r="I2692" i="24"/>
  <c r="I2693" i="24"/>
  <c r="I2694" i="24"/>
  <c r="I2695" i="24"/>
  <c r="I2696" i="24"/>
  <c r="I2697" i="24"/>
  <c r="I2698" i="24"/>
  <c r="I2699" i="24"/>
  <c r="I2700" i="24"/>
  <c r="I2701" i="24"/>
  <c r="I2702" i="24"/>
  <c r="I2703" i="24"/>
  <c r="I2704" i="24"/>
  <c r="I2705" i="24"/>
  <c r="I2706" i="24"/>
  <c r="I2707" i="24"/>
  <c r="I2708" i="24"/>
  <c r="I2709" i="24"/>
  <c r="I2710" i="24"/>
  <c r="I2711" i="24"/>
  <c r="I2712" i="24"/>
  <c r="I2713" i="24"/>
  <c r="I2714" i="24"/>
  <c r="I2715" i="24"/>
  <c r="I2716" i="24"/>
  <c r="I2717" i="24"/>
  <c r="I2718" i="24"/>
  <c r="I2719" i="24"/>
  <c r="I2720" i="24"/>
  <c r="I2721" i="24"/>
  <c r="I2722" i="24"/>
  <c r="I2723" i="24"/>
  <c r="I2724" i="24"/>
  <c r="I2725" i="24"/>
  <c r="I2726" i="24"/>
  <c r="I2727" i="24"/>
  <c r="I2728" i="24"/>
  <c r="I2729" i="24"/>
  <c r="I2730" i="24"/>
  <c r="I2731" i="24"/>
  <c r="I2732" i="24"/>
  <c r="I2733" i="24"/>
  <c r="I2734" i="24"/>
  <c r="I2735" i="24"/>
  <c r="I2736" i="24"/>
  <c r="I2737" i="24"/>
  <c r="I2738" i="24"/>
  <c r="I2739" i="24"/>
  <c r="I2740" i="24"/>
  <c r="I2741" i="24"/>
  <c r="I2742" i="24"/>
  <c r="I2743" i="24"/>
  <c r="I2744" i="24"/>
  <c r="I2745" i="24"/>
  <c r="I2746" i="24"/>
  <c r="I2747" i="24"/>
  <c r="I2748" i="24"/>
  <c r="I2749" i="24"/>
  <c r="I2750" i="24"/>
  <c r="I2751" i="24"/>
  <c r="I2752" i="24"/>
  <c r="I2753" i="24"/>
  <c r="I2754" i="24"/>
  <c r="I2755" i="24"/>
  <c r="I2756" i="24"/>
  <c r="I2757" i="24"/>
  <c r="I2758" i="24"/>
  <c r="I2759" i="24"/>
  <c r="I2760" i="24"/>
  <c r="I2761" i="24"/>
  <c r="I2762" i="24"/>
  <c r="I2763" i="24"/>
  <c r="I2764" i="24"/>
  <c r="I2765" i="24"/>
  <c r="I2766" i="24"/>
  <c r="I2767" i="24"/>
  <c r="I2768" i="24"/>
  <c r="I2769" i="24"/>
  <c r="I2770" i="24"/>
  <c r="I2771" i="24"/>
  <c r="I2772" i="24"/>
  <c r="I2773" i="24"/>
  <c r="I2774" i="24"/>
  <c r="I2775" i="24"/>
  <c r="I2776" i="24"/>
  <c r="I2777" i="24"/>
  <c r="I2778" i="24"/>
  <c r="I2779" i="24"/>
  <c r="I2780" i="24"/>
  <c r="I2781" i="24"/>
  <c r="I2782" i="24"/>
  <c r="I2783" i="24"/>
  <c r="I2784" i="24"/>
  <c r="I2785" i="24"/>
  <c r="I2786" i="24"/>
  <c r="I2787" i="24"/>
  <c r="I2788" i="24"/>
  <c r="I2789" i="24"/>
  <c r="I2790" i="24"/>
  <c r="I2791" i="24"/>
  <c r="I2792" i="24"/>
  <c r="I2793" i="24"/>
  <c r="I2794" i="24"/>
  <c r="I2795" i="24"/>
  <c r="I2796" i="24"/>
  <c r="I2797" i="24"/>
  <c r="I2798" i="24"/>
  <c r="I2799" i="24"/>
  <c r="I2800" i="24"/>
  <c r="I2801" i="24"/>
  <c r="I2802" i="24"/>
  <c r="I2803" i="24"/>
  <c r="I2804" i="24"/>
  <c r="I2805" i="24"/>
  <c r="I2806" i="24"/>
  <c r="I2807" i="24"/>
  <c r="I2808" i="24"/>
  <c r="I2809" i="24"/>
  <c r="I2810" i="24"/>
  <c r="I2811" i="24"/>
  <c r="I2812" i="24"/>
  <c r="I2813" i="24"/>
  <c r="I2814" i="24"/>
  <c r="I2815" i="24"/>
  <c r="I2816" i="24"/>
  <c r="I2817" i="24"/>
  <c r="I2819" i="24"/>
  <c r="I2820" i="24"/>
  <c r="I2821" i="24"/>
  <c r="I2822" i="24"/>
  <c r="I2823" i="24"/>
  <c r="I2824" i="24"/>
  <c r="I2825" i="24"/>
  <c r="I2826" i="24"/>
  <c r="I2827" i="24"/>
  <c r="I2828" i="24"/>
  <c r="I2829" i="24"/>
  <c r="I2830" i="24"/>
  <c r="I2831" i="24"/>
  <c r="I2832" i="24"/>
  <c r="I2833" i="24"/>
  <c r="I2834" i="24"/>
  <c r="I2835" i="24"/>
  <c r="I2836" i="24"/>
  <c r="I2837" i="24"/>
  <c r="I2838" i="24"/>
  <c r="I2839" i="24"/>
  <c r="I2840" i="24"/>
  <c r="I2841" i="24"/>
  <c r="I2842" i="24"/>
  <c r="I2843" i="24"/>
  <c r="I2844" i="24"/>
  <c r="I2845" i="24"/>
  <c r="I2846" i="24"/>
  <c r="I2847" i="24"/>
  <c r="I2848" i="24"/>
  <c r="I2849" i="24"/>
  <c r="I2850" i="24"/>
  <c r="I2851" i="24"/>
  <c r="I2852" i="24"/>
  <c r="I2854" i="24"/>
  <c r="I2855" i="24"/>
  <c r="I2856" i="24"/>
  <c r="I2857" i="24"/>
  <c r="I2858" i="24"/>
  <c r="I2859" i="24"/>
  <c r="I2860" i="24"/>
  <c r="I2861" i="24"/>
  <c r="I2862" i="24"/>
  <c r="I2863" i="24"/>
  <c r="I2864" i="24"/>
  <c r="I2865" i="24"/>
  <c r="I2866" i="24"/>
  <c r="I2867" i="24"/>
  <c r="I2868" i="24"/>
  <c r="I2869" i="24"/>
  <c r="I2870" i="24"/>
  <c r="I2871" i="24"/>
  <c r="I2872" i="24"/>
  <c r="I2873" i="24"/>
  <c r="I2874" i="24"/>
  <c r="I2875" i="24"/>
  <c r="I2876" i="24"/>
  <c r="I2877" i="24"/>
  <c r="I2878" i="24"/>
  <c r="I2879" i="24"/>
  <c r="I2880" i="24"/>
  <c r="I2881" i="24"/>
  <c r="I2882" i="24"/>
  <c r="I2883" i="24"/>
  <c r="I2884" i="24"/>
  <c r="I2885" i="24"/>
  <c r="I2886" i="24"/>
  <c r="I2887" i="24"/>
  <c r="I2889" i="24"/>
  <c r="I2890" i="24"/>
  <c r="I2891" i="24"/>
  <c r="I2892" i="24"/>
  <c r="I2893" i="24"/>
  <c r="I2894" i="24"/>
  <c r="I2895" i="24"/>
  <c r="I2896" i="24"/>
  <c r="I2897" i="24"/>
  <c r="I2898" i="24"/>
  <c r="I2899" i="24"/>
  <c r="I2900" i="24"/>
  <c r="I2901" i="24"/>
  <c r="I2902" i="24"/>
  <c r="I2903" i="24"/>
  <c r="I2904" i="24"/>
  <c r="I2905" i="24"/>
  <c r="I2906" i="24"/>
  <c r="I2907" i="24"/>
  <c r="I2908" i="24"/>
  <c r="I2909" i="24"/>
  <c r="I2910" i="24"/>
  <c r="I2911" i="24"/>
  <c r="I2912" i="24"/>
  <c r="I2913" i="24"/>
  <c r="I2914" i="24"/>
  <c r="I2915" i="24"/>
  <c r="I2916" i="24"/>
  <c r="I2917" i="24"/>
  <c r="I2918" i="24"/>
  <c r="I2919" i="24"/>
  <c r="I2920" i="24"/>
  <c r="I2921" i="24"/>
  <c r="I2922" i="24"/>
  <c r="I2924" i="24"/>
  <c r="I2925" i="24"/>
  <c r="I2926" i="24"/>
  <c r="I2927" i="24"/>
  <c r="I2928" i="24"/>
  <c r="I2929" i="24"/>
  <c r="I2930" i="24"/>
  <c r="I2931" i="24"/>
  <c r="I2932" i="24"/>
  <c r="I2933" i="24"/>
  <c r="I2934" i="24"/>
  <c r="I2935" i="24"/>
  <c r="I2936" i="24"/>
  <c r="I2937" i="24"/>
  <c r="I2938" i="24"/>
  <c r="I2939" i="24"/>
  <c r="I2940" i="24"/>
  <c r="I2941" i="24"/>
  <c r="I2942" i="24"/>
  <c r="I2943" i="24"/>
  <c r="I2944" i="24"/>
  <c r="I2945" i="24"/>
  <c r="I2946" i="24"/>
  <c r="I2947" i="24"/>
  <c r="I2948" i="24"/>
  <c r="I2949" i="24"/>
  <c r="I2950" i="24"/>
  <c r="I2951" i="24"/>
  <c r="I2952" i="24"/>
  <c r="I2953" i="24"/>
  <c r="I2954" i="24"/>
  <c r="I2955" i="24"/>
  <c r="I2956" i="24"/>
  <c r="I2957" i="24"/>
  <c r="I2959" i="24"/>
  <c r="I2960" i="24"/>
  <c r="I2961" i="24"/>
  <c r="I2962" i="24"/>
  <c r="I2963" i="24"/>
  <c r="I2964" i="24"/>
  <c r="I2965" i="24"/>
  <c r="I2966" i="24"/>
  <c r="I2967" i="24"/>
  <c r="I2968" i="24"/>
  <c r="I2969" i="24"/>
  <c r="I2970" i="24"/>
  <c r="I2971" i="24"/>
  <c r="I2972" i="24"/>
  <c r="I2973" i="24"/>
  <c r="I2974" i="24"/>
  <c r="I2975" i="24"/>
  <c r="I2976" i="24"/>
  <c r="I2977" i="24"/>
  <c r="I2978" i="24"/>
  <c r="I2979" i="24"/>
  <c r="I2980" i="24"/>
  <c r="I2981" i="24"/>
  <c r="I2982" i="24"/>
  <c r="I2983" i="24"/>
  <c r="I2984" i="24"/>
  <c r="I2985" i="24"/>
  <c r="I2986" i="24"/>
  <c r="I2987" i="24"/>
  <c r="I2988" i="24"/>
  <c r="I2989" i="24"/>
  <c r="I2990" i="24"/>
  <c r="I2991" i="24"/>
  <c r="I2992" i="24"/>
  <c r="I2994" i="24"/>
  <c r="I2995" i="24"/>
  <c r="I2996" i="24"/>
  <c r="I2997" i="24"/>
  <c r="I2998" i="24"/>
  <c r="I2999" i="24"/>
  <c r="I3000" i="24"/>
  <c r="I3001" i="24"/>
  <c r="I3002" i="24"/>
  <c r="I3003" i="24"/>
  <c r="I3004" i="24"/>
  <c r="I3005" i="24"/>
  <c r="I3006" i="24"/>
  <c r="I3007" i="24"/>
  <c r="I3008" i="24"/>
  <c r="I3009" i="24"/>
  <c r="I3010" i="24"/>
  <c r="I3011" i="24"/>
  <c r="I3012" i="24"/>
  <c r="I3013" i="24"/>
  <c r="I3014" i="24"/>
  <c r="I3015" i="24"/>
  <c r="I3016" i="24"/>
  <c r="I3017" i="24"/>
  <c r="I3018" i="24"/>
  <c r="I3019" i="24"/>
  <c r="I3020" i="24"/>
  <c r="I3021" i="24"/>
  <c r="I3022" i="24"/>
  <c r="I3023" i="24"/>
  <c r="I3024" i="24"/>
  <c r="I3025" i="24"/>
  <c r="I3026" i="24"/>
  <c r="I3027" i="24"/>
  <c r="I3029" i="24"/>
  <c r="I3030" i="24"/>
  <c r="I3031" i="24"/>
  <c r="I3032" i="24"/>
  <c r="I3033" i="24"/>
  <c r="I3034" i="24"/>
  <c r="I3035" i="24"/>
  <c r="I3036" i="24"/>
  <c r="I3037" i="24"/>
  <c r="I3038" i="24"/>
  <c r="I3039" i="24"/>
  <c r="I3040" i="24"/>
  <c r="I3041" i="24"/>
  <c r="I3042" i="24"/>
  <c r="I3043" i="24"/>
  <c r="I3044" i="24"/>
  <c r="I3045" i="24"/>
  <c r="I3046" i="24"/>
  <c r="I3047" i="24"/>
  <c r="I3048" i="24"/>
  <c r="I3049" i="24"/>
  <c r="I3050" i="24"/>
  <c r="I3051" i="24"/>
  <c r="I3052" i="24"/>
  <c r="I3053" i="24"/>
  <c r="I3054" i="24"/>
  <c r="I3055" i="24"/>
  <c r="I3056" i="24"/>
  <c r="I3057" i="24"/>
  <c r="I3058" i="24"/>
  <c r="I3059" i="24"/>
  <c r="I3060" i="24"/>
  <c r="I3061" i="24"/>
  <c r="I3062" i="24"/>
  <c r="I3063" i="24"/>
  <c r="I3064" i="24"/>
  <c r="I3065" i="24"/>
  <c r="I3066" i="24"/>
  <c r="I3067" i="24"/>
  <c r="I3068" i="24"/>
  <c r="I3069" i="24"/>
  <c r="I3070" i="24"/>
  <c r="I3071" i="24"/>
  <c r="I3072" i="24"/>
  <c r="I3073" i="24"/>
  <c r="I3074" i="24"/>
  <c r="I3075" i="24"/>
  <c r="I3076" i="24"/>
  <c r="I3077" i="24"/>
  <c r="I3078" i="24"/>
  <c r="I3079" i="24"/>
  <c r="I3081" i="24"/>
  <c r="I3082" i="24"/>
  <c r="I3083" i="24"/>
  <c r="I3084" i="24"/>
  <c r="I3085" i="24"/>
  <c r="I3086" i="24"/>
  <c r="I3087" i="24"/>
  <c r="I3088" i="24"/>
  <c r="I3089" i="24"/>
  <c r="I3090" i="24"/>
  <c r="I3091" i="24"/>
  <c r="I3092" i="24"/>
  <c r="I3093" i="24"/>
  <c r="I3094" i="24"/>
  <c r="I3095" i="24"/>
  <c r="I3096" i="24"/>
  <c r="I3097" i="24"/>
  <c r="I3098" i="24"/>
  <c r="I3099" i="24"/>
  <c r="I3100" i="24"/>
  <c r="I3101" i="24"/>
  <c r="I3102" i="24"/>
  <c r="I3103" i="24"/>
  <c r="I3104" i="24"/>
  <c r="I3105" i="24"/>
  <c r="I3106" i="24"/>
  <c r="I3107" i="24"/>
  <c r="I3108" i="24"/>
  <c r="I3109" i="24"/>
  <c r="I3110" i="24"/>
  <c r="I3111" i="24"/>
  <c r="I3112" i="24"/>
  <c r="I3113" i="24"/>
  <c r="I3114" i="24"/>
  <c r="I3116" i="24"/>
  <c r="I3117" i="24"/>
  <c r="I3118" i="24"/>
  <c r="I3119" i="24"/>
  <c r="I3120" i="24"/>
  <c r="I3121" i="24"/>
  <c r="I3122" i="24"/>
  <c r="I3123" i="24"/>
  <c r="I3124" i="24"/>
  <c r="I3125" i="24"/>
  <c r="I3126" i="24"/>
  <c r="I3127" i="24"/>
  <c r="I3128" i="24"/>
  <c r="I3129" i="24"/>
  <c r="I3130" i="24"/>
  <c r="I3131" i="24"/>
  <c r="I3132" i="24"/>
  <c r="I3133" i="24"/>
  <c r="I3134" i="24"/>
  <c r="I3135" i="24"/>
  <c r="I3136" i="24"/>
  <c r="I3137" i="24"/>
  <c r="I3138" i="24"/>
  <c r="I3139" i="24"/>
  <c r="I3140" i="24"/>
  <c r="I3141" i="24"/>
  <c r="I3142" i="24"/>
  <c r="I3143" i="24"/>
  <c r="I3144" i="24"/>
  <c r="I3145" i="24"/>
  <c r="I3146" i="24"/>
  <c r="I3147" i="24"/>
  <c r="I3148" i="24"/>
  <c r="I3149" i="24"/>
  <c r="I3151" i="24"/>
  <c r="I3152" i="24"/>
  <c r="I3153" i="24"/>
  <c r="I3154" i="24"/>
  <c r="I3155" i="24"/>
  <c r="I3156" i="24"/>
  <c r="I3157" i="24"/>
  <c r="I3158" i="24"/>
  <c r="I3159" i="24"/>
  <c r="I3160" i="24"/>
  <c r="I3161" i="24"/>
  <c r="I3162" i="24"/>
  <c r="I3163" i="24"/>
  <c r="I3164" i="24"/>
  <c r="I3165" i="24"/>
  <c r="I3166" i="24"/>
  <c r="I3167" i="24"/>
  <c r="I3168" i="24"/>
  <c r="I3169" i="24"/>
  <c r="I3170" i="24"/>
  <c r="I3171" i="24"/>
  <c r="I3172" i="24"/>
  <c r="I3173" i="24"/>
  <c r="I3174" i="24"/>
  <c r="I3175" i="24"/>
  <c r="I3176" i="24"/>
  <c r="I3177" i="24"/>
  <c r="I3178" i="24"/>
  <c r="I3179" i="24"/>
  <c r="I3180" i="24"/>
  <c r="I3181" i="24"/>
  <c r="I3182" i="24"/>
  <c r="I3183" i="24"/>
  <c r="I3184" i="24"/>
  <c r="I3186" i="24"/>
  <c r="I3187" i="24"/>
  <c r="I3188" i="24"/>
  <c r="I3189" i="24"/>
  <c r="I3190" i="24"/>
  <c r="I3191" i="24"/>
  <c r="I3192" i="24"/>
  <c r="I3193" i="24"/>
  <c r="I3194" i="24"/>
  <c r="I3195" i="24"/>
  <c r="I3196" i="24"/>
  <c r="I3197" i="24"/>
  <c r="I3198" i="24"/>
  <c r="I3199" i="24"/>
  <c r="I3200" i="24"/>
  <c r="I3201" i="24"/>
  <c r="I3202" i="24"/>
  <c r="I3203" i="24"/>
  <c r="I3204" i="24"/>
  <c r="I3205" i="24"/>
  <c r="I3206" i="24"/>
  <c r="I3207" i="24"/>
  <c r="I3208" i="24"/>
  <c r="I3209" i="24"/>
  <c r="I3210" i="24"/>
  <c r="I3211" i="24"/>
  <c r="I3212" i="24"/>
  <c r="I3213" i="24"/>
  <c r="I3214" i="24"/>
  <c r="I3215" i="24"/>
  <c r="I3216" i="24"/>
  <c r="I3217" i="24"/>
  <c r="I3218" i="24"/>
  <c r="I3219" i="24"/>
  <c r="I3221" i="24"/>
  <c r="I3222" i="24"/>
  <c r="I3223" i="24"/>
  <c r="I3224" i="24"/>
  <c r="I3225" i="24"/>
  <c r="I3226" i="24"/>
  <c r="I3227" i="24"/>
  <c r="I3228" i="24"/>
  <c r="I3229" i="24"/>
  <c r="I3230" i="24"/>
  <c r="I3231" i="24"/>
  <c r="I3232" i="24"/>
  <c r="I3233" i="24"/>
  <c r="I3234" i="24"/>
  <c r="I3235" i="24"/>
  <c r="I3236" i="24"/>
  <c r="I3237" i="24"/>
  <c r="I3238" i="24"/>
  <c r="I3239" i="24"/>
  <c r="I3240" i="24"/>
  <c r="I3241" i="24"/>
  <c r="I3242" i="24"/>
  <c r="I3243" i="24"/>
  <c r="I3244" i="24"/>
  <c r="I3245" i="24"/>
  <c r="I3246" i="24"/>
  <c r="I3247" i="24"/>
  <c r="I3248" i="24"/>
  <c r="I3249" i="24"/>
  <c r="I3250" i="24"/>
  <c r="I3251" i="24"/>
  <c r="I3252" i="24"/>
  <c r="I3253" i="24"/>
  <c r="I3254" i="24"/>
  <c r="I3256" i="24"/>
  <c r="I3257" i="24"/>
  <c r="I3258" i="24"/>
  <c r="I3259" i="24"/>
  <c r="I3260" i="24"/>
  <c r="I3261" i="24"/>
  <c r="I3262" i="24"/>
  <c r="I3263" i="24"/>
  <c r="I3264" i="24"/>
  <c r="I3265" i="24"/>
  <c r="I3266" i="24"/>
  <c r="I3267" i="24"/>
  <c r="I3268" i="24"/>
  <c r="I3269" i="24"/>
  <c r="I3270" i="24"/>
  <c r="I3271" i="24"/>
  <c r="I3272" i="24"/>
  <c r="I3273" i="24"/>
  <c r="I3274" i="24"/>
  <c r="I3275" i="24"/>
  <c r="I3276" i="24"/>
  <c r="I3277" i="24"/>
  <c r="I3278" i="24"/>
  <c r="I3279" i="24"/>
  <c r="I3280" i="24"/>
  <c r="I3281" i="24"/>
  <c r="I3282" i="24"/>
  <c r="I3283" i="24"/>
  <c r="I3284" i="24"/>
  <c r="I3285" i="24"/>
  <c r="I3286" i="24"/>
  <c r="I3287" i="24"/>
  <c r="I3288" i="24"/>
  <c r="I3289" i="24"/>
  <c r="I3291" i="24"/>
  <c r="I3292" i="24"/>
  <c r="I3293" i="24"/>
  <c r="I3294" i="24"/>
  <c r="I3295" i="24"/>
  <c r="I3296" i="24"/>
  <c r="I3297" i="24"/>
  <c r="I3298" i="24"/>
  <c r="I3299" i="24"/>
  <c r="I3300" i="24"/>
  <c r="I3301" i="24"/>
  <c r="I3302" i="24"/>
  <c r="I3303" i="24"/>
  <c r="I3304" i="24"/>
  <c r="I3305" i="24"/>
  <c r="I3306" i="24"/>
  <c r="I3307" i="24"/>
  <c r="I3308" i="24"/>
  <c r="I3309" i="24"/>
  <c r="I3310" i="24"/>
  <c r="I3311" i="24"/>
  <c r="I3312" i="24"/>
  <c r="I3313" i="24"/>
  <c r="I3314" i="24"/>
  <c r="I3315" i="24"/>
  <c r="I3316" i="24"/>
  <c r="I3317" i="24"/>
  <c r="I3318" i="24"/>
  <c r="I3319" i="24"/>
  <c r="I3320" i="24"/>
  <c r="I3321" i="24"/>
  <c r="I3322" i="24"/>
  <c r="I3323" i="24"/>
  <c r="I3324" i="24"/>
  <c r="I3326" i="24"/>
  <c r="I3327" i="24"/>
  <c r="I3328" i="24"/>
  <c r="I3329" i="24"/>
  <c r="I3330" i="24"/>
  <c r="I3331" i="24"/>
  <c r="I3332" i="24"/>
  <c r="I3333" i="24"/>
  <c r="I3334" i="24"/>
  <c r="I3335" i="24"/>
  <c r="I3336" i="24"/>
  <c r="I3337" i="24"/>
  <c r="I3338" i="24"/>
  <c r="I3339" i="24"/>
  <c r="I3340" i="24"/>
  <c r="I3341" i="24"/>
  <c r="I3342" i="24"/>
  <c r="I3343" i="24"/>
  <c r="I3344" i="24"/>
  <c r="I3345" i="24"/>
  <c r="I3346" i="24"/>
  <c r="I3347" i="24"/>
  <c r="I3348" i="24"/>
  <c r="I3349" i="24"/>
  <c r="I3350" i="24"/>
  <c r="I3351" i="24"/>
  <c r="I3352" i="24"/>
  <c r="I3353" i="24"/>
  <c r="I3354" i="24"/>
  <c r="I3355" i="24"/>
  <c r="I3356" i="24"/>
  <c r="I3357" i="24"/>
  <c r="I3358" i="24"/>
  <c r="I3359" i="24"/>
  <c r="I3361" i="24"/>
  <c r="I3362" i="24"/>
  <c r="I3363" i="24"/>
  <c r="I3364" i="24"/>
  <c r="I3365" i="24"/>
  <c r="I3366" i="24"/>
  <c r="I3367" i="24"/>
  <c r="I3368" i="24"/>
  <c r="I3369" i="24"/>
  <c r="I3370" i="24"/>
  <c r="I3371" i="24"/>
  <c r="I3372" i="24"/>
  <c r="I3373" i="24"/>
  <c r="I3374" i="24"/>
  <c r="I3375" i="24"/>
  <c r="I3376" i="24"/>
  <c r="I3377" i="24"/>
  <c r="I3378" i="24"/>
  <c r="I3379" i="24"/>
  <c r="I3380" i="24"/>
  <c r="I3381" i="24"/>
  <c r="I3382" i="24"/>
  <c r="I3383" i="24"/>
  <c r="I3384" i="24"/>
  <c r="I3385" i="24"/>
  <c r="I3386" i="24"/>
  <c r="I3387" i="24"/>
  <c r="I3388" i="24"/>
  <c r="I3389" i="24"/>
  <c r="I3390" i="24"/>
  <c r="I3391" i="24"/>
  <c r="I3392" i="24"/>
  <c r="I3393" i="24"/>
  <c r="I3394" i="24"/>
  <c r="I3396" i="24"/>
  <c r="I3397" i="24"/>
  <c r="I3398" i="24"/>
  <c r="I3399" i="24"/>
  <c r="I3400" i="24"/>
  <c r="I3401" i="24"/>
  <c r="I3402" i="24"/>
  <c r="I3403" i="24"/>
  <c r="I3404" i="24"/>
  <c r="I3405" i="24"/>
  <c r="I3406" i="24"/>
  <c r="I3407" i="24"/>
  <c r="I3408" i="24"/>
  <c r="I3409" i="24"/>
  <c r="I3410" i="24"/>
  <c r="I3411" i="24"/>
  <c r="I3412" i="24"/>
  <c r="I3413" i="24"/>
  <c r="I3414" i="24"/>
  <c r="I3415" i="24"/>
  <c r="I3416" i="24"/>
  <c r="I3417" i="24"/>
  <c r="I3418" i="24"/>
  <c r="I3419" i="24"/>
  <c r="I3420" i="24"/>
  <c r="I3421" i="24"/>
  <c r="I3422" i="24"/>
  <c r="I3423" i="24"/>
  <c r="I3424" i="24"/>
  <c r="I3425" i="24"/>
  <c r="I3426" i="24"/>
  <c r="I3427" i="24"/>
  <c r="I3428" i="24"/>
  <c r="I3429" i="24"/>
  <c r="I3431" i="24"/>
  <c r="I3432" i="24"/>
  <c r="I3433" i="24"/>
  <c r="I3434" i="24"/>
  <c r="I3435" i="24"/>
  <c r="I3436" i="24"/>
  <c r="I3437" i="24"/>
  <c r="I3438" i="24"/>
  <c r="I3439" i="24"/>
  <c r="I3440" i="24"/>
  <c r="I3441" i="24"/>
  <c r="I3442" i="24"/>
  <c r="I3443" i="24"/>
  <c r="I3444" i="24"/>
  <c r="I3445" i="24"/>
  <c r="I3446" i="24"/>
  <c r="I3447" i="24"/>
  <c r="I3448" i="24"/>
  <c r="I3449" i="24"/>
  <c r="I3450" i="24"/>
  <c r="I3451" i="24"/>
  <c r="I3452" i="24"/>
  <c r="I3453" i="24"/>
  <c r="I3454" i="24"/>
  <c r="I3455" i="24"/>
  <c r="I3456" i="24"/>
  <c r="I3457" i="24"/>
  <c r="I3458" i="24"/>
  <c r="I3459" i="24"/>
  <c r="I3460" i="24"/>
  <c r="I3461" i="24"/>
  <c r="I3462" i="24"/>
  <c r="I3463" i="24"/>
  <c r="I3464" i="24"/>
  <c r="I3466" i="24"/>
  <c r="I3467" i="24"/>
  <c r="I3468" i="24"/>
  <c r="I3469" i="24"/>
  <c r="I3470" i="24"/>
  <c r="I3471" i="24"/>
  <c r="I3472" i="24"/>
  <c r="I3473" i="24"/>
  <c r="I3474" i="24"/>
  <c r="I3475" i="24"/>
  <c r="I3476" i="24"/>
  <c r="I3477" i="24"/>
  <c r="I3478" i="24"/>
  <c r="I3479" i="24"/>
  <c r="I3480" i="24"/>
  <c r="I3481" i="24"/>
  <c r="I3482" i="24"/>
  <c r="I3483" i="24"/>
  <c r="I3484" i="24"/>
  <c r="I3485" i="24"/>
  <c r="I3486" i="24"/>
  <c r="I3487" i="24"/>
  <c r="I3488" i="24"/>
  <c r="I3489" i="24"/>
  <c r="I3490" i="24"/>
  <c r="I3491" i="24"/>
  <c r="I3492" i="24"/>
  <c r="I3493" i="24"/>
  <c r="I3494" i="24"/>
  <c r="I3495" i="24"/>
  <c r="I3496" i="24"/>
  <c r="I3497" i="24"/>
  <c r="I3498" i="24"/>
  <c r="I3499" i="24"/>
  <c r="I3501" i="24"/>
  <c r="I3502" i="24"/>
  <c r="I3503" i="24"/>
  <c r="I3504" i="24"/>
  <c r="I3505" i="24"/>
  <c r="I3506" i="24"/>
  <c r="I3507" i="24"/>
  <c r="I3508" i="24"/>
  <c r="I3509" i="24"/>
  <c r="I3510" i="24"/>
  <c r="I3511" i="24"/>
  <c r="I3512" i="24"/>
  <c r="I3513" i="24"/>
  <c r="I3514" i="24"/>
  <c r="I3515" i="24"/>
  <c r="I3516" i="24"/>
  <c r="I3517" i="24"/>
  <c r="I3518" i="24"/>
  <c r="I3519" i="24"/>
  <c r="I3520" i="24"/>
  <c r="I3521" i="24"/>
  <c r="I3522" i="24"/>
  <c r="I3523" i="24"/>
  <c r="I3524" i="24"/>
  <c r="I3525" i="24"/>
  <c r="I3526" i="24"/>
  <c r="I3527" i="24"/>
  <c r="I3528" i="24"/>
  <c r="I3529" i="24"/>
  <c r="I3530" i="24"/>
  <c r="I3531" i="24"/>
  <c r="I3532" i="24"/>
  <c r="I3533" i="24"/>
  <c r="I3534" i="24"/>
  <c r="I3536" i="24"/>
  <c r="I3537" i="24"/>
  <c r="I3538" i="24"/>
  <c r="I3539" i="24"/>
  <c r="I3540" i="24"/>
  <c r="I3541" i="24"/>
  <c r="I3542" i="24"/>
  <c r="I3543" i="24"/>
  <c r="I3544" i="24"/>
  <c r="I3545" i="24"/>
  <c r="I3546" i="24"/>
  <c r="I3547" i="24"/>
  <c r="I3548" i="24"/>
  <c r="I3549" i="24"/>
  <c r="I3550" i="24"/>
  <c r="I3551" i="24"/>
  <c r="I3552" i="24"/>
  <c r="I3553" i="24"/>
  <c r="I3554" i="24"/>
  <c r="I3555" i="24"/>
  <c r="I3556" i="24"/>
  <c r="I3557" i="24"/>
  <c r="I3558" i="24"/>
  <c r="I3559" i="24"/>
  <c r="I3560" i="24"/>
  <c r="I3561" i="24"/>
  <c r="I3562" i="24"/>
  <c r="I3563" i="24"/>
  <c r="I3564" i="24"/>
  <c r="I3565" i="24"/>
  <c r="I3566" i="24"/>
  <c r="I3567" i="24"/>
  <c r="I3568" i="24"/>
  <c r="I3569" i="24"/>
  <c r="I3571" i="24"/>
  <c r="I3572" i="24"/>
  <c r="I3573" i="24"/>
  <c r="I3574" i="24"/>
  <c r="I3575" i="24"/>
  <c r="I3576" i="24"/>
  <c r="I3577" i="24"/>
  <c r="I3578" i="24"/>
  <c r="I3579" i="24"/>
  <c r="I3580" i="24"/>
  <c r="I3581" i="24"/>
  <c r="I3582" i="24"/>
  <c r="I3583" i="24"/>
  <c r="I3584" i="24"/>
  <c r="I3585" i="24"/>
  <c r="I3586" i="24"/>
  <c r="I3587" i="24"/>
  <c r="I3588" i="24"/>
  <c r="I3589" i="24"/>
  <c r="I3590" i="24"/>
  <c r="I3591" i="24"/>
  <c r="I3592" i="24"/>
  <c r="I3593" i="24"/>
  <c r="I3594" i="24"/>
  <c r="I3595" i="24"/>
  <c r="I3596" i="24"/>
  <c r="I3597" i="24"/>
  <c r="I3598" i="24"/>
  <c r="I3599" i="24"/>
  <c r="I3600" i="24"/>
  <c r="I3601" i="24"/>
  <c r="I3602" i="24"/>
  <c r="I3603" i="24"/>
  <c r="I3604" i="24"/>
  <c r="I3606" i="24"/>
  <c r="I3607" i="24"/>
  <c r="I3608" i="24"/>
  <c r="I3609" i="24"/>
  <c r="I3610" i="24"/>
  <c r="I3611" i="24"/>
  <c r="I3612" i="24"/>
  <c r="I3613" i="24"/>
  <c r="I3614" i="24"/>
  <c r="I3615" i="24"/>
  <c r="I3616" i="24"/>
  <c r="I3617" i="24"/>
  <c r="I3618" i="24"/>
  <c r="I3619" i="24"/>
  <c r="I3620" i="24"/>
  <c r="I3621" i="24"/>
  <c r="I3622" i="24"/>
  <c r="I3623" i="24"/>
  <c r="I3624" i="24"/>
  <c r="I3625" i="24"/>
  <c r="I3626" i="24"/>
  <c r="I3627" i="24"/>
  <c r="I3628" i="24"/>
  <c r="I3629" i="24"/>
  <c r="I3630" i="24"/>
  <c r="I3631" i="24"/>
  <c r="I3632" i="24"/>
  <c r="I3633" i="24"/>
  <c r="I3634" i="24"/>
  <c r="I3635" i="24"/>
  <c r="I3636" i="24"/>
  <c r="I3637" i="24"/>
  <c r="I3638" i="24"/>
  <c r="I3639" i="24"/>
  <c r="I3641" i="24"/>
  <c r="I3642" i="24"/>
  <c r="I3643" i="24"/>
  <c r="I3644" i="24"/>
  <c r="I3645" i="24"/>
  <c r="I3646" i="24"/>
  <c r="I3647" i="24"/>
  <c r="I3648" i="24"/>
  <c r="I3649" i="24"/>
  <c r="I3650" i="24"/>
  <c r="I3651" i="24"/>
  <c r="I3652" i="24"/>
  <c r="I3653" i="24"/>
  <c r="I3654" i="24"/>
  <c r="I3655" i="24"/>
  <c r="I3656" i="24"/>
  <c r="I3657" i="24"/>
  <c r="I3658" i="24"/>
  <c r="I3659" i="24"/>
  <c r="I3660" i="24"/>
  <c r="I3661" i="24"/>
  <c r="I3662" i="24"/>
  <c r="I3663" i="24"/>
  <c r="I3664" i="24"/>
  <c r="I3665" i="24"/>
  <c r="I3666" i="24"/>
  <c r="I3667" i="24"/>
  <c r="I3668" i="24"/>
  <c r="I3669" i="24"/>
  <c r="I3670" i="24"/>
  <c r="I3671" i="24"/>
  <c r="I3672" i="24"/>
  <c r="I3673" i="24"/>
  <c r="I3674" i="24"/>
  <c r="I3675" i="24"/>
  <c r="I3676" i="24"/>
  <c r="I3677" i="24"/>
  <c r="I3678" i="24"/>
  <c r="I3679" i="24"/>
  <c r="I3680" i="24"/>
  <c r="I3681" i="24"/>
  <c r="I3682" i="24"/>
  <c r="I3683" i="24"/>
  <c r="I3684" i="24"/>
  <c r="I3685" i="24"/>
  <c r="I3686" i="24"/>
  <c r="I3687" i="24"/>
  <c r="I3688" i="24"/>
  <c r="I3689" i="24"/>
  <c r="I3690" i="24"/>
  <c r="I3691" i="24"/>
  <c r="I3692" i="24"/>
  <c r="I3693" i="24"/>
  <c r="I3694" i="24"/>
  <c r="I3695" i="24"/>
  <c r="I3696" i="24"/>
  <c r="I3697" i="24"/>
  <c r="I3698" i="24"/>
  <c r="I3699" i="24"/>
  <c r="I3700" i="24"/>
  <c r="I3701" i="24"/>
  <c r="I3702" i="24"/>
  <c r="I3703" i="24"/>
  <c r="I3704" i="24"/>
  <c r="I3705" i="24"/>
  <c r="I3706" i="24"/>
  <c r="I3707" i="24"/>
  <c r="I3709" i="24"/>
  <c r="I3710" i="24"/>
  <c r="I3711" i="24"/>
  <c r="I3712" i="24"/>
  <c r="I3713" i="24"/>
  <c r="I3714" i="24"/>
  <c r="I3715" i="24"/>
  <c r="I3716" i="24"/>
  <c r="I3717" i="24"/>
  <c r="I3718" i="24"/>
  <c r="I3719" i="24"/>
  <c r="I3720" i="24"/>
  <c r="I3721" i="24"/>
  <c r="I3722" i="24"/>
  <c r="I3723" i="24"/>
  <c r="I3724" i="24"/>
  <c r="I3725" i="24"/>
  <c r="I3726" i="24"/>
  <c r="I3727" i="24"/>
  <c r="I3728" i="24"/>
  <c r="I3729" i="24"/>
  <c r="I3730" i="24"/>
  <c r="I3731" i="24"/>
  <c r="I3732" i="24"/>
  <c r="I3733" i="24"/>
  <c r="I3734" i="24"/>
  <c r="I3735" i="24"/>
  <c r="I3736" i="24"/>
  <c r="I3737" i="24"/>
  <c r="I3738" i="24"/>
  <c r="I3739" i="24"/>
  <c r="I3740" i="24"/>
  <c r="I3741" i="24"/>
  <c r="I3742" i="24"/>
  <c r="I3743" i="24"/>
  <c r="I3744" i="24"/>
  <c r="I3745" i="24"/>
  <c r="I3746" i="24"/>
  <c r="I3747" i="24"/>
  <c r="I3748" i="24"/>
  <c r="I3749" i="24"/>
  <c r="I3750" i="24"/>
  <c r="I3751" i="24"/>
  <c r="I3752" i="24"/>
  <c r="I3753" i="24"/>
  <c r="I3754" i="24"/>
  <c r="I3755" i="24"/>
  <c r="I3756" i="24"/>
  <c r="I3757" i="24"/>
  <c r="I3758" i="24"/>
  <c r="I3759" i="24"/>
  <c r="I3760" i="24"/>
  <c r="I3761" i="24"/>
  <c r="I3762" i="24"/>
  <c r="I3763" i="24"/>
  <c r="I3764" i="24"/>
  <c r="I3765" i="24"/>
  <c r="I3766" i="24"/>
  <c r="I3767" i="24"/>
  <c r="I3768" i="24"/>
  <c r="I3769" i="24"/>
  <c r="I3770" i="24"/>
  <c r="I3771" i="24"/>
  <c r="I3772" i="24"/>
  <c r="I3773" i="24"/>
  <c r="I3774" i="24"/>
  <c r="I3775" i="24"/>
  <c r="I3776" i="24"/>
  <c r="I3777" i="24"/>
  <c r="I3778" i="24"/>
  <c r="I3779" i="24"/>
  <c r="I3780" i="24"/>
  <c r="I3781" i="24"/>
  <c r="I3782" i="24"/>
  <c r="I3783" i="24"/>
  <c r="I3784" i="24"/>
  <c r="I3785" i="24"/>
  <c r="I3786" i="24"/>
  <c r="I3787" i="24"/>
  <c r="I3788" i="24"/>
  <c r="I3789" i="24"/>
  <c r="I3790" i="24"/>
  <c r="I3791" i="24"/>
  <c r="I3792" i="24"/>
  <c r="I3793" i="24"/>
  <c r="I3794" i="24"/>
  <c r="I3795" i="24"/>
  <c r="I3796" i="24"/>
  <c r="I3797" i="24"/>
  <c r="I3798" i="24"/>
  <c r="I3799" i="24"/>
  <c r="I3800" i="24"/>
  <c r="I3801" i="24"/>
  <c r="I3802" i="24"/>
  <c r="I3803" i="24"/>
  <c r="I3804" i="24"/>
  <c r="I3805" i="24"/>
  <c r="I3806" i="24"/>
  <c r="I3807" i="24"/>
  <c r="I3808" i="24"/>
  <c r="I3809" i="24"/>
  <c r="I3810" i="24"/>
  <c r="I3811" i="24"/>
  <c r="I3812" i="24"/>
  <c r="I3813" i="24"/>
  <c r="I3814" i="24"/>
  <c r="I3815" i="24"/>
  <c r="I3816" i="24"/>
  <c r="I3817" i="24"/>
  <c r="I3818" i="24"/>
  <c r="I3819" i="24"/>
  <c r="I3820" i="24"/>
  <c r="I3821" i="24"/>
  <c r="I3822" i="24"/>
  <c r="I3823" i="24"/>
  <c r="I3824" i="24"/>
  <c r="I3825" i="24"/>
  <c r="I3827" i="24"/>
  <c r="I3828" i="24"/>
  <c r="I3829" i="24"/>
  <c r="I3830" i="24"/>
  <c r="I3831" i="24"/>
  <c r="I3832" i="24"/>
  <c r="I3833" i="24"/>
  <c r="I3834" i="24"/>
  <c r="I3835" i="24"/>
  <c r="I3836" i="24"/>
  <c r="I3837" i="24"/>
  <c r="I3838" i="24"/>
  <c r="I3839" i="24"/>
  <c r="I3840" i="24"/>
  <c r="I3841" i="24"/>
  <c r="I3842" i="24"/>
  <c r="I3843" i="24"/>
  <c r="I3844" i="24"/>
  <c r="I3845" i="24"/>
  <c r="I3846" i="24"/>
  <c r="I3847" i="24"/>
  <c r="I3848" i="24"/>
  <c r="I3849" i="24"/>
  <c r="I3850" i="24"/>
  <c r="I3851" i="24"/>
  <c r="I3852" i="24"/>
  <c r="I3853" i="24"/>
  <c r="I3854" i="24"/>
  <c r="I3855" i="24"/>
  <c r="I3856" i="24"/>
  <c r="I3857" i="24"/>
  <c r="I3858" i="24"/>
  <c r="I3859" i="24"/>
  <c r="I3860" i="24"/>
  <c r="I3862" i="24"/>
  <c r="I3863" i="24"/>
  <c r="I3864" i="24"/>
  <c r="I3865" i="24"/>
  <c r="I3866" i="24"/>
  <c r="I3867" i="24"/>
  <c r="I3868" i="24"/>
  <c r="I3869" i="24"/>
  <c r="I3870" i="24"/>
  <c r="I3871" i="24"/>
  <c r="I3872" i="24"/>
  <c r="I3873" i="24"/>
  <c r="I3874" i="24"/>
  <c r="I3875" i="24"/>
  <c r="I3876" i="24"/>
  <c r="I3877" i="24"/>
  <c r="I3878" i="24"/>
  <c r="I3879" i="24"/>
  <c r="I3880" i="24"/>
  <c r="I3881" i="24"/>
  <c r="I3882" i="24"/>
  <c r="I3883" i="24"/>
  <c r="I3884" i="24"/>
  <c r="I3885" i="24"/>
  <c r="I3886" i="24"/>
  <c r="I3887" i="24"/>
  <c r="I3888" i="24"/>
  <c r="I3889" i="24"/>
  <c r="I3890" i="24"/>
  <c r="I3891" i="24"/>
  <c r="I3892" i="24"/>
  <c r="I3893" i="24"/>
  <c r="I3894" i="24"/>
  <c r="I3895" i="24"/>
  <c r="I3897" i="24"/>
  <c r="I3898" i="24"/>
  <c r="I3899" i="24"/>
  <c r="I3900" i="24"/>
  <c r="I3901" i="24"/>
  <c r="I3902" i="24"/>
  <c r="I3903" i="24"/>
  <c r="I3904" i="24"/>
  <c r="I3905" i="24"/>
  <c r="I3906" i="24"/>
  <c r="I3907" i="24"/>
  <c r="I3908" i="24"/>
  <c r="I3909" i="24"/>
  <c r="I3910" i="24"/>
  <c r="I3911" i="24"/>
  <c r="I3912" i="24"/>
  <c r="I3913" i="24"/>
  <c r="I3914" i="24"/>
  <c r="I3915" i="24"/>
  <c r="I3916" i="24"/>
  <c r="I3917" i="24"/>
  <c r="I3918" i="24"/>
  <c r="I3919" i="24"/>
  <c r="I3920" i="24"/>
  <c r="I3921" i="24"/>
  <c r="I3922" i="24"/>
  <c r="I3923" i="24"/>
  <c r="I3924" i="24"/>
  <c r="I3925" i="24"/>
  <c r="I3926" i="24"/>
  <c r="I3927" i="24"/>
  <c r="I3928" i="24"/>
  <c r="I3929" i="24"/>
  <c r="I3930" i="24"/>
  <c r="I3932" i="24"/>
  <c r="I3933" i="24"/>
  <c r="I3934" i="24"/>
  <c r="I3935" i="24"/>
  <c r="I3936" i="24"/>
  <c r="I3937" i="24"/>
  <c r="I3938" i="24"/>
  <c r="I3939" i="24"/>
  <c r="I3940" i="24"/>
  <c r="I3941" i="24"/>
  <c r="I3942" i="24"/>
  <c r="I3943" i="24"/>
  <c r="I3944" i="24"/>
  <c r="I3945" i="24"/>
  <c r="I3946" i="24"/>
  <c r="I3947" i="24"/>
  <c r="I3948" i="24"/>
  <c r="I3949" i="24"/>
  <c r="I3950" i="24"/>
  <c r="I3951" i="24"/>
  <c r="I3952" i="24"/>
  <c r="I3953" i="24"/>
  <c r="I3954" i="24"/>
  <c r="I3955" i="24"/>
  <c r="I3956" i="24"/>
  <c r="I3957" i="24"/>
  <c r="I3958" i="24"/>
  <c r="I3959" i="24"/>
  <c r="I3960" i="24"/>
  <c r="I3961" i="24"/>
  <c r="I3962" i="24"/>
  <c r="I3963" i="24"/>
  <c r="I3964" i="24"/>
  <c r="I3965" i="24"/>
  <c r="I3967" i="24"/>
  <c r="I3968" i="24"/>
  <c r="I3969" i="24"/>
  <c r="I3970" i="24"/>
  <c r="I3971" i="24"/>
  <c r="I3972" i="24"/>
  <c r="I3973" i="24"/>
  <c r="I3974" i="24"/>
  <c r="I3975" i="24"/>
  <c r="I3976" i="24"/>
  <c r="I3977" i="24"/>
  <c r="I3978" i="24"/>
  <c r="I3979" i="24"/>
  <c r="I3980" i="24"/>
  <c r="I3981" i="24"/>
  <c r="I3982" i="24"/>
  <c r="I3983" i="24"/>
  <c r="I3984" i="24"/>
  <c r="I3985" i="24"/>
  <c r="I3986" i="24"/>
  <c r="I3987" i="24"/>
  <c r="I3988" i="24"/>
  <c r="I3989" i="24"/>
  <c r="I3990" i="24"/>
  <c r="I3991" i="24"/>
  <c r="I3992" i="24"/>
  <c r="I3993" i="24"/>
  <c r="I3994" i="24"/>
  <c r="I3995" i="24"/>
  <c r="I3996" i="24"/>
  <c r="I3997" i="24"/>
  <c r="I3998" i="24"/>
  <c r="I3999" i="24"/>
  <c r="I4000" i="24"/>
  <c r="I4001" i="24"/>
  <c r="I4003" i="24"/>
  <c r="I4004" i="24"/>
  <c r="I4005" i="24"/>
  <c r="I4006" i="24"/>
  <c r="I4007" i="24"/>
  <c r="I4008" i="24"/>
  <c r="I4009" i="24"/>
  <c r="I4010" i="24"/>
  <c r="I4011" i="24"/>
  <c r="I4012" i="24"/>
  <c r="I4013" i="24"/>
  <c r="I4014" i="24"/>
  <c r="I4015" i="24"/>
  <c r="I4016" i="24"/>
  <c r="I4017" i="24"/>
  <c r="I4018" i="24"/>
  <c r="I4019" i="24"/>
  <c r="I4020" i="24"/>
  <c r="I4021" i="24"/>
  <c r="I4022" i="24"/>
  <c r="I4023" i="24"/>
  <c r="I4024" i="24"/>
  <c r="I4025" i="24"/>
  <c r="I4026" i="24"/>
  <c r="I4027" i="24"/>
  <c r="I4028" i="24"/>
  <c r="I4029" i="24"/>
  <c r="I4030" i="24"/>
  <c r="I4031" i="24"/>
  <c r="I4032" i="24"/>
  <c r="I4033" i="24"/>
  <c r="I4034" i="24"/>
  <c r="I4036" i="24"/>
  <c r="I4037" i="24"/>
  <c r="I4038" i="24"/>
  <c r="I4039" i="24"/>
  <c r="I4040" i="24"/>
  <c r="I4041" i="24"/>
  <c r="I4042" i="24"/>
  <c r="I4043" i="24"/>
  <c r="I4044" i="24"/>
  <c r="I4045" i="24"/>
  <c r="I4046" i="24"/>
  <c r="I4047" i="24"/>
  <c r="I4048" i="24"/>
  <c r="I4049" i="24"/>
  <c r="I4050" i="24"/>
  <c r="I4051" i="24"/>
  <c r="I4052" i="24"/>
  <c r="I4053" i="24"/>
  <c r="I4054" i="24"/>
  <c r="I4055" i="24"/>
  <c r="I4056" i="24"/>
  <c r="I4057" i="24"/>
  <c r="I4058" i="24"/>
  <c r="I4059" i="24"/>
  <c r="I4060" i="24"/>
  <c r="I4061" i="24"/>
  <c r="I4062" i="24"/>
  <c r="I4063" i="24"/>
  <c r="I4064" i="24"/>
  <c r="I4065" i="24"/>
  <c r="I4066" i="24"/>
  <c r="I4067" i="24"/>
  <c r="I4068" i="24"/>
  <c r="I4069" i="24"/>
  <c r="I4071" i="24"/>
  <c r="I4072" i="24"/>
  <c r="I4073" i="24"/>
  <c r="I4074" i="24"/>
  <c r="I4075" i="24"/>
  <c r="I4076" i="24"/>
  <c r="I4077" i="24"/>
  <c r="I4078" i="24"/>
  <c r="I4079" i="24"/>
  <c r="I4080" i="24"/>
  <c r="I4081" i="24"/>
  <c r="I4082" i="24"/>
  <c r="I4083" i="24"/>
  <c r="I4084" i="24"/>
  <c r="I4085" i="24"/>
  <c r="I4086" i="24"/>
  <c r="I4087" i="24"/>
  <c r="I4088" i="24"/>
  <c r="I4089" i="24"/>
  <c r="I4090" i="24"/>
  <c r="I4091" i="24"/>
  <c r="I4092" i="24"/>
  <c r="I4093" i="24"/>
  <c r="I4094" i="24"/>
  <c r="I4095" i="24"/>
  <c r="I4096" i="24"/>
  <c r="I4097" i="24"/>
  <c r="I4098" i="24"/>
  <c r="I4099" i="24"/>
  <c r="I4100" i="24"/>
  <c r="I4101" i="24"/>
  <c r="I4102" i="24"/>
  <c r="I4103" i="24"/>
  <c r="I4104" i="24"/>
  <c r="I4106" i="24"/>
  <c r="I4107" i="24"/>
  <c r="I4108" i="24"/>
  <c r="I4109" i="24"/>
  <c r="I4110" i="24"/>
  <c r="I4111" i="24"/>
  <c r="I4112" i="24"/>
  <c r="I4113" i="24"/>
  <c r="I4114" i="24"/>
  <c r="I4115" i="24"/>
  <c r="I4116" i="24"/>
  <c r="I4117" i="24"/>
  <c r="I4118" i="24"/>
  <c r="I4119" i="24"/>
  <c r="I4120" i="24"/>
  <c r="I4121" i="24"/>
  <c r="I4122" i="24"/>
  <c r="I4123" i="24"/>
  <c r="I4124" i="24"/>
  <c r="I4125" i="24"/>
  <c r="I4126" i="24"/>
  <c r="I4127" i="24"/>
  <c r="I4128" i="24"/>
  <c r="I4129" i="24"/>
  <c r="I4130" i="24"/>
  <c r="I4131" i="24"/>
  <c r="I4132" i="24"/>
  <c r="I4133" i="24"/>
  <c r="I4134" i="24"/>
  <c r="I4135" i="24"/>
  <c r="I4136" i="24"/>
  <c r="I4137" i="24"/>
  <c r="I4138" i="24"/>
  <c r="I4139" i="24"/>
  <c r="I4141" i="24"/>
  <c r="I4142" i="24"/>
  <c r="I4143" i="24"/>
  <c r="I4144" i="24"/>
  <c r="I4145" i="24"/>
  <c r="I4146" i="24"/>
  <c r="I4147" i="24"/>
  <c r="I4148" i="24"/>
  <c r="I4149" i="24"/>
  <c r="I4150" i="24"/>
  <c r="I4151" i="24"/>
  <c r="I4152" i="24"/>
  <c r="I4153" i="24"/>
  <c r="I4154" i="24"/>
  <c r="I4155" i="24"/>
  <c r="I4156" i="24"/>
  <c r="I4157" i="24"/>
  <c r="I4158" i="24"/>
  <c r="I4159" i="24"/>
  <c r="I4160" i="24"/>
  <c r="I4161" i="24"/>
  <c r="I4162" i="24"/>
  <c r="I4163" i="24"/>
  <c r="I4164" i="24"/>
  <c r="I4165" i="24"/>
  <c r="I4166" i="24"/>
  <c r="I4167" i="24"/>
  <c r="I4168" i="24"/>
  <c r="I4169" i="24"/>
  <c r="I4170" i="24"/>
  <c r="I4171" i="24"/>
  <c r="I4172" i="24"/>
  <c r="I4174" i="24"/>
  <c r="I4175" i="24"/>
  <c r="I4176" i="24"/>
  <c r="I4177" i="24"/>
  <c r="I4178" i="24"/>
  <c r="I4179" i="24"/>
  <c r="I4180" i="24"/>
  <c r="I4181" i="24"/>
  <c r="I4182" i="24"/>
  <c r="I4183" i="24"/>
  <c r="I4184" i="24"/>
  <c r="I4185" i="24"/>
  <c r="I4186" i="24"/>
  <c r="I4187" i="24"/>
  <c r="I4188" i="24"/>
  <c r="I4189" i="24"/>
  <c r="I4190" i="24"/>
  <c r="I4191" i="24"/>
  <c r="I4192" i="24"/>
  <c r="I4193" i="24"/>
  <c r="I4194" i="24"/>
  <c r="I4195" i="24"/>
  <c r="I4196" i="24"/>
  <c r="I4197" i="24"/>
  <c r="I4198" i="24"/>
  <c r="I4199" i="24"/>
  <c r="I4200" i="24"/>
  <c r="I4201" i="24"/>
  <c r="I4202" i="24"/>
  <c r="I4203" i="24"/>
  <c r="I4204" i="24"/>
  <c r="I4205" i="24"/>
  <c r="I4206" i="24"/>
  <c r="I4207" i="24"/>
  <c r="I4209" i="24"/>
  <c r="I4210" i="24"/>
  <c r="I4211" i="24"/>
  <c r="I4212" i="24"/>
  <c r="I4213" i="24"/>
  <c r="I4214" i="24"/>
  <c r="I4215" i="24"/>
  <c r="I4216" i="24"/>
  <c r="I4217" i="24"/>
  <c r="I4218" i="24"/>
  <c r="I4219" i="24"/>
  <c r="I4220" i="24"/>
  <c r="I4221" i="24"/>
  <c r="I4222" i="24"/>
  <c r="I4223" i="24"/>
  <c r="I4224" i="24"/>
  <c r="I4225" i="24"/>
  <c r="I4226" i="24"/>
  <c r="I4227" i="24"/>
  <c r="I4228" i="24"/>
  <c r="I4229" i="24"/>
  <c r="I4230" i="24"/>
  <c r="I4231" i="24"/>
  <c r="I4232" i="24"/>
  <c r="I4233" i="24"/>
  <c r="I4234" i="24"/>
  <c r="I4235" i="24"/>
  <c r="I4236" i="24"/>
  <c r="I4237" i="24"/>
  <c r="I4238" i="24"/>
  <c r="I4239" i="24"/>
  <c r="I4240" i="24"/>
  <c r="I4241" i="24"/>
  <c r="I4242" i="24"/>
  <c r="I4244" i="24"/>
  <c r="I4245" i="24"/>
  <c r="I4246" i="24"/>
  <c r="I4247" i="24"/>
  <c r="I4248" i="24"/>
  <c r="I4249" i="24"/>
  <c r="I4250" i="24"/>
  <c r="I4251" i="24"/>
  <c r="I4252" i="24"/>
  <c r="I4253" i="24"/>
  <c r="I4254" i="24"/>
  <c r="I4255" i="24"/>
  <c r="I4256" i="24"/>
  <c r="I4257" i="24"/>
  <c r="I4258" i="24"/>
  <c r="I4259" i="24"/>
  <c r="I4260" i="24"/>
  <c r="I4261" i="24"/>
  <c r="I4262" i="24"/>
  <c r="I4263" i="24"/>
  <c r="I4264" i="24"/>
  <c r="I4265" i="24"/>
  <c r="I4266" i="24"/>
  <c r="I4267" i="24"/>
  <c r="I4268" i="24"/>
  <c r="I4269" i="24"/>
  <c r="I4270" i="24"/>
  <c r="I4271" i="24"/>
  <c r="I4272" i="24"/>
  <c r="I4273" i="24"/>
  <c r="I4274" i="24"/>
  <c r="I4275" i="24"/>
  <c r="I4276" i="24"/>
  <c r="I4277" i="24"/>
  <c r="I4279" i="24"/>
  <c r="I4280" i="24"/>
  <c r="I4281" i="24"/>
  <c r="I4282" i="24"/>
  <c r="I4283" i="24"/>
  <c r="I4284" i="24"/>
  <c r="I4285" i="24"/>
  <c r="I4286" i="24"/>
  <c r="I4287" i="24"/>
  <c r="I4288" i="24"/>
  <c r="I4289" i="24"/>
  <c r="I4290" i="24"/>
  <c r="AX118" i="12"/>
  <c r="G23" i="27"/>
  <c r="G154" i="27"/>
  <c r="G155" i="27"/>
  <c r="G156" i="27"/>
  <c r="R254" i="1"/>
  <c r="R255" i="1"/>
  <c r="J21" i="22"/>
  <c r="I21" i="22"/>
  <c r="H21" i="22"/>
  <c r="BI19" i="12"/>
  <c r="BI18" i="12"/>
  <c r="BY41" i="12"/>
  <c r="BY66" i="12"/>
  <c r="BY19" i="12"/>
  <c r="BI72" i="12"/>
  <c r="BI66" i="12"/>
  <c r="BI57" i="12"/>
  <c r="BI43" i="12"/>
  <c r="BI41" i="12"/>
  <c r="E18" i="20"/>
  <c r="D18" i="20"/>
  <c r="P23" i="1"/>
  <c r="P14" i="1" s="1"/>
  <c r="O23" i="1"/>
  <c r="N23" i="1"/>
  <c r="K23" i="1"/>
  <c r="F23" i="1"/>
  <c r="E23" i="1" s="1"/>
  <c r="D17" i="20"/>
  <c r="BJ60" i="12"/>
  <c r="BZ60" i="12"/>
  <c r="F251" i="1"/>
  <c r="E251" i="1" s="1"/>
  <c r="P251" i="1"/>
  <c r="O251" i="1"/>
  <c r="N251" i="1"/>
  <c r="P190" i="1"/>
  <c r="T190" i="1" s="1"/>
  <c r="O190" i="1"/>
  <c r="N190" i="1"/>
  <c r="P166" i="1"/>
  <c r="O166" i="1"/>
  <c r="N166" i="1"/>
  <c r="BX112" i="12"/>
  <c r="BX111" i="12"/>
  <c r="BX110" i="12"/>
  <c r="BH110" i="12"/>
  <c r="AI110" i="12"/>
  <c r="AH110" i="12"/>
  <c r="Q110" i="12"/>
  <c r="BX109" i="12"/>
  <c r="BH109" i="12"/>
  <c r="AI109" i="12"/>
  <c r="AH109" i="12"/>
  <c r="Q109" i="12"/>
  <c r="G76" i="1"/>
  <c r="H76" i="1"/>
  <c r="I76" i="1"/>
  <c r="K76" i="1"/>
  <c r="L76" i="1"/>
  <c r="M76" i="1"/>
  <c r="N76" i="1"/>
  <c r="O76" i="1"/>
  <c r="P76" i="1"/>
  <c r="E103" i="1"/>
  <c r="Q103" i="1" s="1"/>
  <c r="D64" i="31"/>
  <c r="H64" i="31"/>
  <c r="E17" i="20"/>
  <c r="BO115" i="12"/>
  <c r="BE115" i="12"/>
  <c r="O188" i="1"/>
  <c r="N188" i="1"/>
  <c r="H51" i="15"/>
  <c r="H49" i="15"/>
  <c r="H50" i="15"/>
  <c r="AW99" i="12"/>
  <c r="AW114" i="12" s="1"/>
  <c r="AW118" i="12" s="1"/>
  <c r="AW47" i="12"/>
  <c r="D1899" i="29"/>
  <c r="E1899" i="29"/>
  <c r="C1899"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50" i="29"/>
  <c r="H51" i="29"/>
  <c r="H52" i="29"/>
  <c r="H53" i="29"/>
  <c r="H54" i="29"/>
  <c r="H55" i="29"/>
  <c r="H56" i="29"/>
  <c r="H57" i="29"/>
  <c r="H58" i="29"/>
  <c r="H59" i="29"/>
  <c r="H60" i="29"/>
  <c r="H61" i="29"/>
  <c r="H62" i="29"/>
  <c r="H63" i="29"/>
  <c r="H64" i="29"/>
  <c r="H65" i="29"/>
  <c r="H66" i="29"/>
  <c r="H67" i="29"/>
  <c r="H68" i="29"/>
  <c r="H69" i="29"/>
  <c r="H70" i="29"/>
  <c r="H71" i="29"/>
  <c r="H72" i="29"/>
  <c r="H73" i="29"/>
  <c r="H74" i="29"/>
  <c r="H75" i="29"/>
  <c r="H76" i="29"/>
  <c r="H77" i="29"/>
  <c r="H78" i="29"/>
  <c r="H79" i="29"/>
  <c r="H80" i="29"/>
  <c r="H81" i="29"/>
  <c r="H82" i="29"/>
  <c r="H83" i="29"/>
  <c r="H84" i="29"/>
  <c r="H85" i="29"/>
  <c r="H86" i="29"/>
  <c r="H87" i="29"/>
  <c r="H88" i="29"/>
  <c r="H89" i="29"/>
  <c r="H90" i="29"/>
  <c r="H91" i="29"/>
  <c r="H92" i="29"/>
  <c r="H93" i="29"/>
  <c r="H94" i="29"/>
  <c r="H95" i="29"/>
  <c r="H97" i="29"/>
  <c r="H98" i="29"/>
  <c r="H99" i="29"/>
  <c r="H100" i="29"/>
  <c r="H101" i="29"/>
  <c r="H102" i="29"/>
  <c r="H103" i="29"/>
  <c r="H104" i="29"/>
  <c r="H105" i="29"/>
  <c r="H106" i="29"/>
  <c r="H107" i="29"/>
  <c r="H108" i="29"/>
  <c r="H109" i="29"/>
  <c r="H110" i="29"/>
  <c r="H111" i="29"/>
  <c r="H112" i="29"/>
  <c r="H113" i="29"/>
  <c r="H114" i="29"/>
  <c r="H115" i="29"/>
  <c r="H116" i="29"/>
  <c r="H117" i="29"/>
  <c r="H118" i="29"/>
  <c r="H119" i="29"/>
  <c r="H120" i="29"/>
  <c r="H121" i="29"/>
  <c r="H122" i="29"/>
  <c r="H123" i="29"/>
  <c r="H124" i="29"/>
  <c r="H126" i="29"/>
  <c r="H127" i="29"/>
  <c r="H128" i="29"/>
  <c r="H129" i="29"/>
  <c r="H130" i="29"/>
  <c r="H131" i="29"/>
  <c r="H132" i="29"/>
  <c r="H133" i="29"/>
  <c r="H134" i="29"/>
  <c r="H135" i="29"/>
  <c r="H136" i="29"/>
  <c r="H137" i="29"/>
  <c r="H138" i="29"/>
  <c r="H139" i="29"/>
  <c r="H140" i="29"/>
  <c r="H141" i="29"/>
  <c r="H142" i="29"/>
  <c r="H143" i="29"/>
  <c r="H144" i="29"/>
  <c r="H145" i="29"/>
  <c r="H146" i="29"/>
  <c r="H147" i="29"/>
  <c r="H148" i="29"/>
  <c r="H149" i="29"/>
  <c r="H150" i="29"/>
  <c r="H151" i="29"/>
  <c r="H152" i="29"/>
  <c r="H153" i="29"/>
  <c r="H154" i="29"/>
  <c r="H155" i="29"/>
  <c r="H156" i="29"/>
  <c r="H157" i="29"/>
  <c r="H159" i="29"/>
  <c r="H160" i="29"/>
  <c r="H161" i="29"/>
  <c r="H162" i="29"/>
  <c r="H163" i="29"/>
  <c r="H164" i="29"/>
  <c r="H165" i="29"/>
  <c r="H166" i="29"/>
  <c r="H167" i="29"/>
  <c r="H168" i="29"/>
  <c r="H169" i="29"/>
  <c r="H170" i="29"/>
  <c r="H171" i="29"/>
  <c r="H172" i="29"/>
  <c r="H173" i="29"/>
  <c r="H174" i="29"/>
  <c r="H175" i="29"/>
  <c r="H176" i="29"/>
  <c r="H177" i="29"/>
  <c r="H178" i="29"/>
  <c r="H179" i="29"/>
  <c r="H180" i="29"/>
  <c r="H181" i="29"/>
  <c r="H182" i="29"/>
  <c r="H183" i="29"/>
  <c r="H184" i="29"/>
  <c r="H185" i="29"/>
  <c r="H186" i="29"/>
  <c r="H187" i="29"/>
  <c r="H188" i="29"/>
  <c r="H189" i="29"/>
  <c r="H190" i="29"/>
  <c r="H191" i="29"/>
  <c r="H192" i="29"/>
  <c r="H193" i="29"/>
  <c r="H194" i="29"/>
  <c r="H195" i="29"/>
  <c r="H196" i="29"/>
  <c r="H197" i="29"/>
  <c r="H198" i="29"/>
  <c r="H199" i="29"/>
  <c r="H200" i="29"/>
  <c r="H203" i="29"/>
  <c r="H204" i="29"/>
  <c r="H205" i="29"/>
  <c r="H206" i="29"/>
  <c r="H207" i="29"/>
  <c r="H208" i="29"/>
  <c r="H209" i="29"/>
  <c r="H210" i="29"/>
  <c r="H211" i="29"/>
  <c r="H212" i="29"/>
  <c r="H213" i="29"/>
  <c r="H214" i="29"/>
  <c r="H215" i="29"/>
  <c r="H216" i="29"/>
  <c r="H217" i="29"/>
  <c r="H218" i="29"/>
  <c r="H219" i="29"/>
  <c r="H220" i="29"/>
  <c r="H221" i="29"/>
  <c r="H222" i="29"/>
  <c r="H223" i="29"/>
  <c r="H224" i="29"/>
  <c r="H225" i="29"/>
  <c r="H226" i="29"/>
  <c r="H227" i="29"/>
  <c r="H228" i="29"/>
  <c r="H229" i="29"/>
  <c r="H230" i="29"/>
  <c r="H231" i="29"/>
  <c r="H232" i="29"/>
  <c r="H233" i="29"/>
  <c r="H234" i="29"/>
  <c r="H235" i="29"/>
  <c r="H236" i="29"/>
  <c r="H237" i="29"/>
  <c r="H238" i="29"/>
  <c r="H239" i="29"/>
  <c r="H240" i="29"/>
  <c r="H241" i="29"/>
  <c r="H242" i="29"/>
  <c r="H243" i="29"/>
  <c r="H245" i="29"/>
  <c r="H246" i="29"/>
  <c r="H247" i="29"/>
  <c r="H248" i="29"/>
  <c r="H249" i="29"/>
  <c r="H250" i="29"/>
  <c r="H251" i="29"/>
  <c r="H252" i="29"/>
  <c r="H253" i="29"/>
  <c r="H254" i="29"/>
  <c r="H255" i="29"/>
  <c r="H256" i="29"/>
  <c r="H257" i="29"/>
  <c r="H258" i="29"/>
  <c r="H259" i="29"/>
  <c r="H260" i="29"/>
  <c r="H261" i="29"/>
  <c r="H262" i="29"/>
  <c r="H263" i="29"/>
  <c r="H264" i="29"/>
  <c r="H265" i="29"/>
  <c r="H266" i="29"/>
  <c r="H267" i="29"/>
  <c r="H268" i="29"/>
  <c r="H269" i="29"/>
  <c r="H270" i="29"/>
  <c r="H271" i="29"/>
  <c r="H272" i="29"/>
  <c r="H273" i="29"/>
  <c r="H274" i="29"/>
  <c r="H275" i="29"/>
  <c r="H276" i="29"/>
  <c r="H277" i="29"/>
  <c r="H278" i="29"/>
  <c r="H279" i="29"/>
  <c r="H280" i="29"/>
  <c r="H281" i="29"/>
  <c r="H282" i="29"/>
  <c r="H283" i="29"/>
  <c r="H284" i="29"/>
  <c r="H285" i="29"/>
  <c r="H286" i="29"/>
  <c r="H287" i="29"/>
  <c r="H288" i="29"/>
  <c r="H289" i="29"/>
  <c r="H290" i="29"/>
  <c r="H291" i="29"/>
  <c r="H292" i="29"/>
  <c r="H293" i="29"/>
  <c r="H294" i="29"/>
  <c r="H295" i="29"/>
  <c r="H296" i="29"/>
  <c r="H298" i="29"/>
  <c r="H299" i="29"/>
  <c r="H300" i="29"/>
  <c r="H301" i="29"/>
  <c r="H302" i="29"/>
  <c r="H303" i="29"/>
  <c r="H304" i="29"/>
  <c r="H305" i="29"/>
  <c r="H306" i="29"/>
  <c r="H307" i="29"/>
  <c r="H308" i="29"/>
  <c r="H309" i="29"/>
  <c r="H310" i="29"/>
  <c r="H311" i="29"/>
  <c r="H312" i="29"/>
  <c r="H313" i="29"/>
  <c r="H314" i="29"/>
  <c r="H315" i="29"/>
  <c r="H316" i="29"/>
  <c r="H317" i="29"/>
  <c r="H318" i="29"/>
  <c r="H319" i="29"/>
  <c r="H320" i="29"/>
  <c r="H321" i="29"/>
  <c r="H322" i="29"/>
  <c r="H323" i="29"/>
  <c r="H324" i="29"/>
  <c r="H325" i="29"/>
  <c r="H326" i="29"/>
  <c r="H328" i="29"/>
  <c r="H329" i="29"/>
  <c r="H330" i="29"/>
  <c r="H331" i="29"/>
  <c r="H332" i="29"/>
  <c r="H333" i="29"/>
  <c r="H334" i="29"/>
  <c r="H335" i="29"/>
  <c r="H336" i="29"/>
  <c r="H337" i="29"/>
  <c r="H338" i="29"/>
  <c r="H339" i="29"/>
  <c r="H340" i="29"/>
  <c r="H341" i="29"/>
  <c r="H342" i="29"/>
  <c r="H343" i="29"/>
  <c r="H344" i="29"/>
  <c r="H345" i="29"/>
  <c r="H346" i="29"/>
  <c r="H347" i="29"/>
  <c r="H348" i="29"/>
  <c r="H349" i="29"/>
  <c r="H350" i="29"/>
  <c r="H351" i="29"/>
  <c r="H352" i="29"/>
  <c r="H353" i="29"/>
  <c r="H354" i="29"/>
  <c r="H355" i="29"/>
  <c r="H356" i="29"/>
  <c r="H357" i="29"/>
  <c r="H358" i="29"/>
  <c r="H359" i="29"/>
  <c r="H360" i="29"/>
  <c r="H361" i="29"/>
  <c r="H362" i="29"/>
  <c r="H363" i="29"/>
  <c r="H364" i="29"/>
  <c r="H365" i="29"/>
  <c r="H366" i="29"/>
  <c r="H367" i="29"/>
  <c r="H368" i="29"/>
  <c r="H369" i="29"/>
  <c r="H370" i="29"/>
  <c r="H371" i="29"/>
  <c r="H373" i="29"/>
  <c r="H374" i="29"/>
  <c r="H375" i="29"/>
  <c r="H376" i="29"/>
  <c r="H377" i="29"/>
  <c r="H378" i="29"/>
  <c r="H379" i="29"/>
  <c r="H380" i="29"/>
  <c r="H381" i="29"/>
  <c r="H382" i="29"/>
  <c r="H383" i="29"/>
  <c r="H384" i="29"/>
  <c r="H385" i="29"/>
  <c r="H386" i="29"/>
  <c r="H387" i="29"/>
  <c r="H388" i="29"/>
  <c r="H389" i="29"/>
  <c r="H390" i="29"/>
  <c r="H391" i="29"/>
  <c r="H392" i="29"/>
  <c r="H393" i="29"/>
  <c r="H394" i="29"/>
  <c r="H395" i="29"/>
  <c r="H396" i="29"/>
  <c r="H397" i="29"/>
  <c r="H398" i="29"/>
  <c r="H399" i="29"/>
  <c r="H400" i="29"/>
  <c r="H401" i="29"/>
  <c r="H402" i="29"/>
  <c r="H403" i="29"/>
  <c r="H404" i="29"/>
  <c r="H405" i="29"/>
  <c r="H406" i="29"/>
  <c r="H407" i="29"/>
  <c r="H408" i="29"/>
  <c r="H409" i="29"/>
  <c r="H410" i="29"/>
  <c r="H411" i="29"/>
  <c r="H412" i="29"/>
  <c r="H414" i="29"/>
  <c r="H415" i="29"/>
  <c r="H416" i="29"/>
  <c r="H417" i="29"/>
  <c r="H418" i="29"/>
  <c r="H419" i="29"/>
  <c r="H420" i="29"/>
  <c r="H421" i="29"/>
  <c r="H422" i="29"/>
  <c r="H423" i="29"/>
  <c r="H424" i="29"/>
  <c r="H425" i="29"/>
  <c r="H426" i="29"/>
  <c r="H427" i="29"/>
  <c r="H428" i="29"/>
  <c r="H429" i="29"/>
  <c r="H430" i="29"/>
  <c r="H431" i="29"/>
  <c r="H432" i="29"/>
  <c r="H433" i="29"/>
  <c r="H434" i="29"/>
  <c r="H435" i="29"/>
  <c r="H436" i="29"/>
  <c r="H437" i="29"/>
  <c r="H438" i="29"/>
  <c r="H439" i="29"/>
  <c r="H440" i="29"/>
  <c r="H441" i="29"/>
  <c r="H442" i="29"/>
  <c r="H443" i="29"/>
  <c r="H444" i="29"/>
  <c r="H445" i="29"/>
  <c r="H447" i="29"/>
  <c r="H448" i="29"/>
  <c r="H449" i="29"/>
  <c r="H450" i="29"/>
  <c r="H451" i="29"/>
  <c r="H452" i="29"/>
  <c r="H453" i="29"/>
  <c r="H454" i="29"/>
  <c r="H455" i="29"/>
  <c r="H456" i="29"/>
  <c r="H457" i="29"/>
  <c r="H458" i="29"/>
  <c r="H459" i="29"/>
  <c r="H460" i="29"/>
  <c r="H461" i="29"/>
  <c r="H462" i="29"/>
  <c r="H463" i="29"/>
  <c r="H464" i="29"/>
  <c r="H465" i="29"/>
  <c r="H466" i="29"/>
  <c r="H467" i="29"/>
  <c r="H468" i="29"/>
  <c r="H469" i="29"/>
  <c r="H470" i="29"/>
  <c r="H471" i="29"/>
  <c r="H472" i="29"/>
  <c r="H473" i="29"/>
  <c r="H474" i="29"/>
  <c r="H475" i="29"/>
  <c r="H476" i="29"/>
  <c r="H477" i="29"/>
  <c r="H478" i="29"/>
  <c r="H479" i="29"/>
  <c r="H480" i="29"/>
  <c r="H481" i="29"/>
  <c r="H482" i="29"/>
  <c r="H483" i="29"/>
  <c r="H484" i="29"/>
  <c r="H485" i="29"/>
  <c r="H486" i="29"/>
  <c r="H487" i="29"/>
  <c r="H488" i="29"/>
  <c r="H489" i="29"/>
  <c r="H490" i="29"/>
  <c r="H491" i="29"/>
  <c r="H492" i="29"/>
  <c r="H493" i="29"/>
  <c r="H494" i="29"/>
  <c r="H495" i="29"/>
  <c r="H497" i="29"/>
  <c r="H498" i="29"/>
  <c r="H499" i="29"/>
  <c r="H500" i="29"/>
  <c r="H501" i="29"/>
  <c r="H502" i="29"/>
  <c r="H503" i="29"/>
  <c r="H504" i="29"/>
  <c r="H505" i="29"/>
  <c r="H506" i="29"/>
  <c r="H507" i="29"/>
  <c r="H508" i="29"/>
  <c r="H509" i="29"/>
  <c r="H510" i="29"/>
  <c r="H511" i="29"/>
  <c r="H512" i="29"/>
  <c r="H513" i="29"/>
  <c r="H514" i="29"/>
  <c r="H515" i="29"/>
  <c r="H516" i="29"/>
  <c r="H517" i="29"/>
  <c r="H518" i="29"/>
  <c r="H519" i="29"/>
  <c r="H520" i="29"/>
  <c r="H521" i="29"/>
  <c r="H522" i="29"/>
  <c r="H523" i="29"/>
  <c r="H524" i="29"/>
  <c r="H525" i="29"/>
  <c r="H526" i="29"/>
  <c r="H527" i="29"/>
  <c r="H528" i="29"/>
  <c r="H529" i="29"/>
  <c r="H530" i="29"/>
  <c r="H531" i="29"/>
  <c r="H532" i="29"/>
  <c r="H533" i="29"/>
  <c r="H534" i="29"/>
  <c r="H536" i="29"/>
  <c r="H537" i="29"/>
  <c r="H538" i="29"/>
  <c r="H539" i="29"/>
  <c r="H540" i="29"/>
  <c r="H541" i="29"/>
  <c r="H542" i="29"/>
  <c r="H543" i="29"/>
  <c r="H544" i="29"/>
  <c r="H545" i="29"/>
  <c r="H546" i="29"/>
  <c r="H547" i="29"/>
  <c r="H548" i="29"/>
  <c r="H549" i="29"/>
  <c r="H550" i="29"/>
  <c r="H551" i="29"/>
  <c r="H552" i="29"/>
  <c r="H553" i="29"/>
  <c r="H554" i="29"/>
  <c r="H555" i="29"/>
  <c r="H556" i="29"/>
  <c r="H557" i="29"/>
  <c r="H558" i="29"/>
  <c r="H559" i="29"/>
  <c r="H560" i="29"/>
  <c r="H561" i="29"/>
  <c r="H562" i="29"/>
  <c r="H563" i="29"/>
  <c r="H564" i="29"/>
  <c r="H565" i="29"/>
  <c r="H566" i="29"/>
  <c r="H567" i="29"/>
  <c r="H568" i="29"/>
  <c r="H569" i="29"/>
  <c r="H570" i="29"/>
  <c r="H571" i="29"/>
  <c r="H572" i="29"/>
  <c r="H573" i="29"/>
  <c r="H574" i="29"/>
  <c r="H575" i="29"/>
  <c r="H576" i="29"/>
  <c r="H577" i="29"/>
  <c r="H578" i="29"/>
  <c r="H579" i="29"/>
  <c r="H580" i="29"/>
  <c r="H581" i="29"/>
  <c r="H582" i="29"/>
  <c r="H583" i="29"/>
  <c r="H584" i="29"/>
  <c r="H585" i="29"/>
  <c r="H586" i="29"/>
  <c r="H587" i="29"/>
  <c r="H588" i="29"/>
  <c r="H589" i="29"/>
  <c r="H590" i="29"/>
  <c r="H591" i="29"/>
  <c r="H592" i="29"/>
  <c r="H593" i="29"/>
  <c r="H594" i="29"/>
  <c r="H595" i="29"/>
  <c r="H596" i="29"/>
  <c r="H597" i="29"/>
  <c r="H598" i="29"/>
  <c r="H599" i="29"/>
  <c r="H600" i="29"/>
  <c r="H601" i="29"/>
  <c r="H602" i="29"/>
  <c r="H603" i="29"/>
  <c r="H604" i="29"/>
  <c r="H606" i="29"/>
  <c r="H607" i="29"/>
  <c r="H608" i="29"/>
  <c r="H609" i="29"/>
  <c r="H610" i="29"/>
  <c r="H611" i="29"/>
  <c r="H612" i="29"/>
  <c r="H613" i="29"/>
  <c r="H614" i="29"/>
  <c r="H615" i="29"/>
  <c r="H616" i="29"/>
  <c r="H617" i="29"/>
  <c r="H618" i="29"/>
  <c r="H619" i="29"/>
  <c r="H620" i="29"/>
  <c r="H621" i="29"/>
  <c r="H622" i="29"/>
  <c r="H623" i="29"/>
  <c r="H624" i="29"/>
  <c r="H625" i="29"/>
  <c r="H626" i="29"/>
  <c r="H628" i="29"/>
  <c r="H629" i="29"/>
  <c r="H630" i="29"/>
  <c r="H631" i="29"/>
  <c r="H632" i="29"/>
  <c r="H633" i="29"/>
  <c r="H634" i="29"/>
  <c r="H635" i="29"/>
  <c r="H636" i="29"/>
  <c r="H637" i="29"/>
  <c r="H638" i="29"/>
  <c r="H639" i="29"/>
  <c r="H640" i="29"/>
  <c r="H641" i="29"/>
  <c r="H642" i="29"/>
  <c r="H643" i="29"/>
  <c r="H644" i="29"/>
  <c r="H645" i="29"/>
  <c r="H646" i="29"/>
  <c r="H647" i="29"/>
  <c r="H648" i="29"/>
  <c r="H649" i="29"/>
  <c r="H650" i="29"/>
  <c r="H651" i="29"/>
  <c r="H652" i="29"/>
  <c r="H653" i="29"/>
  <c r="H654" i="29"/>
  <c r="H655" i="29"/>
  <c r="H656" i="29"/>
  <c r="H657" i="29"/>
  <c r="H658" i="29"/>
  <c r="H660" i="29"/>
  <c r="H661" i="29"/>
  <c r="H662" i="29"/>
  <c r="H663" i="29"/>
  <c r="H664" i="29"/>
  <c r="H665" i="29"/>
  <c r="H666" i="29"/>
  <c r="H667" i="29"/>
  <c r="H668" i="29"/>
  <c r="H669" i="29"/>
  <c r="H670" i="29"/>
  <c r="H671" i="29"/>
  <c r="H672" i="29"/>
  <c r="H673" i="29"/>
  <c r="H674" i="29"/>
  <c r="H675" i="29"/>
  <c r="H676" i="29"/>
  <c r="H677" i="29"/>
  <c r="H678" i="29"/>
  <c r="H679" i="29"/>
  <c r="H680" i="29"/>
  <c r="H681" i="29"/>
  <c r="H682" i="29"/>
  <c r="H683" i="29"/>
  <c r="H684" i="29"/>
  <c r="H685" i="29"/>
  <c r="H686" i="29"/>
  <c r="H687" i="29"/>
  <c r="H688" i="29"/>
  <c r="H689" i="29"/>
  <c r="H690" i="29"/>
  <c r="H691" i="29"/>
  <c r="H692" i="29"/>
  <c r="H693" i="29"/>
  <c r="H694" i="29"/>
  <c r="H695" i="29"/>
  <c r="H696" i="29"/>
  <c r="H697" i="29"/>
  <c r="H698" i="29"/>
  <c r="H699" i="29"/>
  <c r="H700" i="29"/>
  <c r="H701" i="29"/>
  <c r="H702" i="29"/>
  <c r="H704" i="29"/>
  <c r="H705" i="29"/>
  <c r="H706" i="29"/>
  <c r="H707" i="29"/>
  <c r="H708" i="29"/>
  <c r="H709" i="29"/>
  <c r="H710" i="29"/>
  <c r="H711" i="29"/>
  <c r="H712" i="29"/>
  <c r="H713" i="29"/>
  <c r="H714" i="29"/>
  <c r="H715" i="29"/>
  <c r="H716" i="29"/>
  <c r="H717" i="29"/>
  <c r="H718" i="29"/>
  <c r="H719" i="29"/>
  <c r="H720" i="29"/>
  <c r="H721" i="29"/>
  <c r="H722" i="29"/>
  <c r="H723" i="29"/>
  <c r="H724" i="29"/>
  <c r="H725" i="29"/>
  <c r="H726" i="29"/>
  <c r="H727" i="29"/>
  <c r="H728" i="29"/>
  <c r="H729" i="29"/>
  <c r="H730" i="29"/>
  <c r="H731" i="29"/>
  <c r="H732" i="29"/>
  <c r="H733" i="29"/>
  <c r="H734" i="29"/>
  <c r="H735" i="29"/>
  <c r="H736" i="29"/>
  <c r="H737" i="29"/>
  <c r="H738" i="29"/>
  <c r="H739" i="29"/>
  <c r="H740" i="29"/>
  <c r="H741" i="29"/>
  <c r="H742" i="29"/>
  <c r="H743" i="29"/>
  <c r="H744" i="29"/>
  <c r="H745" i="29"/>
  <c r="H746" i="29"/>
  <c r="H747" i="29"/>
  <c r="H749" i="29"/>
  <c r="H750" i="29"/>
  <c r="H751" i="29"/>
  <c r="H752" i="29"/>
  <c r="H753" i="29"/>
  <c r="H754" i="29"/>
  <c r="H755" i="29"/>
  <c r="H756" i="29"/>
  <c r="H757" i="29"/>
  <c r="H758" i="29"/>
  <c r="H759" i="29"/>
  <c r="H760" i="29"/>
  <c r="H761" i="29"/>
  <c r="H762" i="29"/>
  <c r="H763" i="29"/>
  <c r="H764" i="29"/>
  <c r="H765" i="29"/>
  <c r="H766" i="29"/>
  <c r="H767" i="29"/>
  <c r="H768" i="29"/>
  <c r="H769" i="29"/>
  <c r="H770" i="29"/>
  <c r="H771" i="29"/>
  <c r="H772" i="29"/>
  <c r="H773" i="29"/>
  <c r="H774" i="29"/>
  <c r="H775" i="29"/>
  <c r="H776" i="29"/>
  <c r="H777" i="29"/>
  <c r="H778" i="29"/>
  <c r="H779" i="29"/>
  <c r="H780" i="29"/>
  <c r="H781" i="29"/>
  <c r="H782" i="29"/>
  <c r="H783" i="29"/>
  <c r="H784" i="29"/>
  <c r="H785" i="29"/>
  <c r="H787" i="29"/>
  <c r="H788" i="29"/>
  <c r="H789" i="29"/>
  <c r="H790" i="29"/>
  <c r="H791" i="29"/>
  <c r="H792" i="29"/>
  <c r="H793" i="29"/>
  <c r="H794" i="29"/>
  <c r="H795" i="29"/>
  <c r="H796" i="29"/>
  <c r="H797" i="29"/>
  <c r="H798" i="29"/>
  <c r="H799" i="29"/>
  <c r="H800" i="29"/>
  <c r="H801" i="29"/>
  <c r="H802" i="29"/>
  <c r="H803" i="29"/>
  <c r="H804" i="29"/>
  <c r="H805" i="29"/>
  <c r="H806" i="29"/>
  <c r="H807" i="29"/>
  <c r="H808" i="29"/>
  <c r="H809" i="29"/>
  <c r="H810" i="29"/>
  <c r="H811" i="29"/>
  <c r="H812" i="29"/>
  <c r="H813" i="29"/>
  <c r="H814" i="29"/>
  <c r="H815" i="29"/>
  <c r="H816" i="29"/>
  <c r="H817" i="29"/>
  <c r="H818" i="29"/>
  <c r="H819" i="29"/>
  <c r="H820" i="29"/>
  <c r="H821" i="29"/>
  <c r="H822" i="29"/>
  <c r="H823" i="29"/>
  <c r="H824" i="29"/>
  <c r="H825" i="29"/>
  <c r="H826" i="29"/>
  <c r="H827" i="29"/>
  <c r="H828" i="29"/>
  <c r="H829" i="29"/>
  <c r="H830" i="29"/>
  <c r="H831" i="29"/>
  <c r="H832" i="29"/>
  <c r="H833" i="29"/>
  <c r="H834" i="29"/>
  <c r="H835" i="29"/>
  <c r="H836" i="29"/>
  <c r="H837" i="29"/>
  <c r="H838" i="29"/>
  <c r="H839" i="29"/>
  <c r="H840" i="29"/>
  <c r="H841" i="29"/>
  <c r="H842" i="29"/>
  <c r="H843" i="29"/>
  <c r="H844" i="29"/>
  <c r="H845" i="29"/>
  <c r="H846" i="29"/>
  <c r="H847" i="29"/>
  <c r="H848" i="29"/>
  <c r="H849" i="29"/>
  <c r="H850" i="29"/>
  <c r="H851" i="29"/>
  <c r="H852" i="29"/>
  <c r="H853" i="29"/>
  <c r="H854" i="29"/>
  <c r="H855" i="29"/>
  <c r="H856" i="29"/>
  <c r="H857" i="29"/>
  <c r="H858" i="29"/>
  <c r="H859" i="29"/>
  <c r="H860" i="29"/>
  <c r="H861" i="29"/>
  <c r="H862" i="29"/>
  <c r="H863" i="29"/>
  <c r="H864" i="29"/>
  <c r="H865" i="29"/>
  <c r="H866" i="29"/>
  <c r="H867" i="29"/>
  <c r="H868" i="29"/>
  <c r="H869" i="29"/>
  <c r="H870" i="29"/>
  <c r="H871" i="29"/>
  <c r="H872" i="29"/>
  <c r="H873" i="29"/>
  <c r="H874" i="29"/>
  <c r="H875" i="29"/>
  <c r="H876" i="29"/>
  <c r="H877" i="29"/>
  <c r="H878" i="29"/>
  <c r="H879" i="29"/>
  <c r="H880" i="29"/>
  <c r="H881" i="29"/>
  <c r="H882" i="29"/>
  <c r="H883" i="29"/>
  <c r="H884" i="29"/>
  <c r="H885" i="29"/>
  <c r="H886" i="29"/>
  <c r="H887" i="29"/>
  <c r="H888" i="29"/>
  <c r="H889" i="29"/>
  <c r="H890" i="29"/>
  <c r="H891" i="29"/>
  <c r="H892" i="29"/>
  <c r="H893" i="29"/>
  <c r="H894" i="29"/>
  <c r="H895" i="29"/>
  <c r="H896" i="29"/>
  <c r="H897" i="29"/>
  <c r="H898" i="29"/>
  <c r="H899" i="29"/>
  <c r="H900" i="29"/>
  <c r="H901" i="29"/>
  <c r="H902" i="29"/>
  <c r="H903" i="29"/>
  <c r="H904" i="29"/>
  <c r="H905" i="29"/>
  <c r="H906" i="29"/>
  <c r="H907" i="29"/>
  <c r="H909" i="29"/>
  <c r="H910" i="29"/>
  <c r="H911" i="29"/>
  <c r="H912" i="29"/>
  <c r="H913" i="29"/>
  <c r="H914" i="29"/>
  <c r="H915" i="29"/>
  <c r="H916" i="29"/>
  <c r="H917" i="29"/>
  <c r="H918" i="29"/>
  <c r="H919" i="29"/>
  <c r="H920" i="29"/>
  <c r="H921" i="29"/>
  <c r="H922" i="29"/>
  <c r="H923" i="29"/>
  <c r="H924" i="29"/>
  <c r="H925" i="29"/>
  <c r="H926" i="29"/>
  <c r="H927" i="29"/>
  <c r="H928" i="29"/>
  <c r="H929" i="29"/>
  <c r="H930" i="29"/>
  <c r="H931" i="29"/>
  <c r="H932" i="29"/>
  <c r="H933" i="29"/>
  <c r="H934" i="29"/>
  <c r="H935" i="29"/>
  <c r="H936" i="29"/>
  <c r="H937" i="29"/>
  <c r="H938" i="29"/>
  <c r="H939" i="29"/>
  <c r="H940" i="29"/>
  <c r="H941" i="29"/>
  <c r="H942" i="29"/>
  <c r="H944" i="29"/>
  <c r="H945" i="29"/>
  <c r="H946" i="29"/>
  <c r="H947" i="29"/>
  <c r="H948" i="29"/>
  <c r="H949" i="29"/>
  <c r="H950" i="29"/>
  <c r="H951" i="29"/>
  <c r="H952" i="29"/>
  <c r="H953" i="29"/>
  <c r="H954" i="29"/>
  <c r="H955" i="29"/>
  <c r="H956" i="29"/>
  <c r="H957" i="29"/>
  <c r="H958" i="29"/>
  <c r="H959" i="29"/>
  <c r="H960" i="29"/>
  <c r="H961" i="29"/>
  <c r="H962" i="29"/>
  <c r="H963" i="29"/>
  <c r="H964" i="29"/>
  <c r="H965" i="29"/>
  <c r="H966" i="29"/>
  <c r="H967" i="29"/>
  <c r="H968" i="29"/>
  <c r="H969" i="29"/>
  <c r="H970" i="29"/>
  <c r="H971" i="29"/>
  <c r="H972" i="29"/>
  <c r="H973" i="29"/>
  <c r="H974" i="29"/>
  <c r="H975" i="29"/>
  <c r="H976" i="29"/>
  <c r="H977" i="29"/>
  <c r="H978" i="29"/>
  <c r="H979" i="29"/>
  <c r="H980" i="29"/>
  <c r="H981" i="29"/>
  <c r="H982" i="29"/>
  <c r="H983" i="29"/>
  <c r="H984" i="29"/>
  <c r="H985" i="29"/>
  <c r="H986" i="29"/>
  <c r="H987" i="29"/>
  <c r="H988" i="29"/>
  <c r="H989" i="29"/>
  <c r="H990" i="29"/>
  <c r="H991" i="29"/>
  <c r="H992" i="29"/>
  <c r="H993" i="29"/>
  <c r="H994" i="29"/>
  <c r="H995" i="29"/>
  <c r="H996" i="29"/>
  <c r="H997" i="29"/>
  <c r="H998" i="29"/>
  <c r="H999" i="29"/>
  <c r="H1000" i="29"/>
  <c r="H1001" i="29"/>
  <c r="H1002" i="29"/>
  <c r="H1003" i="29"/>
  <c r="H1004" i="29"/>
  <c r="H1005" i="29"/>
  <c r="H1006" i="29"/>
  <c r="H1007" i="29"/>
  <c r="H1008" i="29"/>
  <c r="H1009" i="29"/>
  <c r="H1010" i="29"/>
  <c r="H1011" i="29"/>
  <c r="H1012" i="29"/>
  <c r="H1013" i="29"/>
  <c r="H1014" i="29"/>
  <c r="H1015" i="29"/>
  <c r="H1016" i="29"/>
  <c r="H1017" i="29"/>
  <c r="H1018" i="29"/>
  <c r="H1019" i="29"/>
  <c r="H1020" i="29"/>
  <c r="H1021" i="29"/>
  <c r="H1023" i="29"/>
  <c r="H1024" i="29"/>
  <c r="H1025" i="29"/>
  <c r="H1026" i="29"/>
  <c r="H1027" i="29"/>
  <c r="H1028" i="29"/>
  <c r="H1029" i="29"/>
  <c r="H1030" i="29"/>
  <c r="H1031" i="29"/>
  <c r="H1032" i="29"/>
  <c r="H1033" i="29"/>
  <c r="H1034" i="29"/>
  <c r="H1035" i="29"/>
  <c r="H1036" i="29"/>
  <c r="H1037" i="29"/>
  <c r="H1038" i="29"/>
  <c r="H1039" i="29"/>
  <c r="H1040" i="29"/>
  <c r="H1041" i="29"/>
  <c r="H1042" i="29"/>
  <c r="H1043" i="29"/>
  <c r="H1044" i="29"/>
  <c r="H1045" i="29"/>
  <c r="H1046" i="29"/>
  <c r="H1047" i="29"/>
  <c r="H1048" i="29"/>
  <c r="H1049" i="29"/>
  <c r="H1050" i="29"/>
  <c r="H1052" i="29"/>
  <c r="H1053" i="29"/>
  <c r="H1054" i="29"/>
  <c r="H1055" i="29"/>
  <c r="H1056" i="29"/>
  <c r="H1057" i="29"/>
  <c r="H1058" i="29"/>
  <c r="H1059" i="29"/>
  <c r="H1060" i="29"/>
  <c r="H1061" i="29"/>
  <c r="H1062" i="29"/>
  <c r="H1063" i="29"/>
  <c r="H1064" i="29"/>
  <c r="H1065" i="29"/>
  <c r="H1066" i="29"/>
  <c r="H1067" i="29"/>
  <c r="H1068" i="29"/>
  <c r="H1069" i="29"/>
  <c r="H1070" i="29"/>
  <c r="H1071" i="29"/>
  <c r="H1072" i="29"/>
  <c r="H1073" i="29"/>
  <c r="H1074" i="29"/>
  <c r="H1075" i="29"/>
  <c r="H1076" i="29"/>
  <c r="H1077" i="29"/>
  <c r="H1078" i="29"/>
  <c r="H1079" i="29"/>
  <c r="H1080" i="29"/>
  <c r="H1081" i="29"/>
  <c r="H1082" i="29"/>
  <c r="H1083" i="29"/>
  <c r="H1084" i="29"/>
  <c r="H1085" i="29"/>
  <c r="H1086" i="29"/>
  <c r="H1087" i="29"/>
  <c r="H1089" i="29"/>
  <c r="H1090" i="29"/>
  <c r="H1091" i="29"/>
  <c r="H1092" i="29"/>
  <c r="H1093" i="29"/>
  <c r="H1094" i="29"/>
  <c r="H1095" i="29"/>
  <c r="H1096" i="29"/>
  <c r="H1097" i="29"/>
  <c r="H1098" i="29"/>
  <c r="H1099" i="29"/>
  <c r="H1100" i="29"/>
  <c r="H1101" i="29"/>
  <c r="H1102" i="29"/>
  <c r="H1103" i="29"/>
  <c r="H1104" i="29"/>
  <c r="H1105" i="29"/>
  <c r="H1106" i="29"/>
  <c r="H1107" i="29"/>
  <c r="H1108" i="29"/>
  <c r="H1109" i="29"/>
  <c r="H1110" i="29"/>
  <c r="H1111" i="29"/>
  <c r="H1112" i="29"/>
  <c r="H1113" i="29"/>
  <c r="H1114" i="29"/>
  <c r="H1115" i="29"/>
  <c r="H1116" i="29"/>
  <c r="H1117" i="29"/>
  <c r="H1118" i="29"/>
  <c r="H1119" i="29"/>
  <c r="H1120" i="29"/>
  <c r="H1121" i="29"/>
  <c r="H1122" i="29"/>
  <c r="H1123" i="29"/>
  <c r="H1124" i="29"/>
  <c r="H1125" i="29"/>
  <c r="H1126" i="29"/>
  <c r="H1127" i="29"/>
  <c r="H1128" i="29"/>
  <c r="H1129" i="29"/>
  <c r="H1130" i="29"/>
  <c r="H1131" i="29"/>
  <c r="H1132" i="29"/>
  <c r="H1133" i="29"/>
  <c r="H1134" i="29"/>
  <c r="H1135" i="29"/>
  <c r="H1137" i="29"/>
  <c r="H1138" i="29"/>
  <c r="H1139" i="29"/>
  <c r="H1140" i="29"/>
  <c r="H1141" i="29"/>
  <c r="H1142" i="29"/>
  <c r="H1143" i="29"/>
  <c r="H1144" i="29"/>
  <c r="H1145" i="29"/>
  <c r="H1146" i="29"/>
  <c r="H1147" i="29"/>
  <c r="H1148" i="29"/>
  <c r="H1149" i="29"/>
  <c r="H1150" i="29"/>
  <c r="H1151" i="29"/>
  <c r="H1152" i="29"/>
  <c r="H1153" i="29"/>
  <c r="H1154" i="29"/>
  <c r="H1155" i="29"/>
  <c r="H1156" i="29"/>
  <c r="H1157" i="29"/>
  <c r="H1158" i="29"/>
  <c r="H1159" i="29"/>
  <c r="H1160" i="29"/>
  <c r="H1161" i="29"/>
  <c r="H1162" i="29"/>
  <c r="H1163" i="29"/>
  <c r="H1164" i="29"/>
  <c r="H1165" i="29"/>
  <c r="H1166" i="29"/>
  <c r="H1167" i="29"/>
  <c r="H1168" i="29"/>
  <c r="H1169" i="29"/>
  <c r="H1170" i="29"/>
  <c r="H1171" i="29"/>
  <c r="H1172" i="29"/>
  <c r="H1173" i="29"/>
  <c r="H1174" i="29"/>
  <c r="H1175" i="29"/>
  <c r="H1176" i="29"/>
  <c r="H1177" i="29"/>
  <c r="H1178" i="29"/>
  <c r="H1179" i="29"/>
  <c r="H1180" i="29"/>
  <c r="H1181" i="29"/>
  <c r="H1182" i="29"/>
  <c r="H1183" i="29"/>
  <c r="H1184" i="29"/>
  <c r="H1185" i="29"/>
  <c r="H1186" i="29"/>
  <c r="H1187" i="29"/>
  <c r="H1188" i="29"/>
  <c r="H1189" i="29"/>
  <c r="H1190" i="29"/>
  <c r="H1191" i="29"/>
  <c r="H1192" i="29"/>
  <c r="H1193" i="29"/>
  <c r="H1194" i="29"/>
  <c r="H1195" i="29"/>
  <c r="H1196" i="29"/>
  <c r="H1197" i="29"/>
  <c r="H1198" i="29"/>
  <c r="H1199" i="29"/>
  <c r="H1200" i="29"/>
  <c r="H1201" i="29"/>
  <c r="H1202" i="29"/>
  <c r="H1203" i="29"/>
  <c r="H1204" i="29"/>
  <c r="H1205" i="29"/>
  <c r="H1206" i="29"/>
  <c r="H1207" i="29"/>
  <c r="H1208" i="29"/>
  <c r="H1209" i="29"/>
  <c r="H1210" i="29"/>
  <c r="H1211" i="29"/>
  <c r="H1212" i="29"/>
  <c r="H1213" i="29"/>
  <c r="H1214" i="29"/>
  <c r="H1216" i="29"/>
  <c r="H1217" i="29"/>
  <c r="H1218" i="29"/>
  <c r="H1219" i="29"/>
  <c r="H1220" i="29"/>
  <c r="H1221" i="29"/>
  <c r="H1222" i="29"/>
  <c r="H1223" i="29"/>
  <c r="H1224" i="29"/>
  <c r="H1225" i="29"/>
  <c r="H1226" i="29"/>
  <c r="H1227" i="29"/>
  <c r="H1228" i="29"/>
  <c r="H1229" i="29"/>
  <c r="H1230" i="29"/>
  <c r="H1231" i="29"/>
  <c r="H1232" i="29"/>
  <c r="H1233" i="29"/>
  <c r="H1234" i="29"/>
  <c r="H1235" i="29"/>
  <c r="H1236" i="29"/>
  <c r="H1237" i="29"/>
  <c r="H1238" i="29"/>
  <c r="H1239" i="29"/>
  <c r="H1240" i="29"/>
  <c r="H1241" i="29"/>
  <c r="H1242" i="29"/>
  <c r="H1243" i="29"/>
  <c r="H1244" i="29"/>
  <c r="H1245" i="29"/>
  <c r="H1246" i="29"/>
  <c r="H1247" i="29"/>
  <c r="H1248" i="29"/>
  <c r="H1249" i="29"/>
  <c r="H1250" i="29"/>
  <c r="H1251" i="29"/>
  <c r="H1252" i="29"/>
  <c r="H1253" i="29"/>
  <c r="H1254" i="29"/>
  <c r="H1255" i="29"/>
  <c r="H1256" i="29"/>
  <c r="H1257" i="29"/>
  <c r="H1258" i="29"/>
  <c r="H1259" i="29"/>
  <c r="H1260" i="29"/>
  <c r="H1261" i="29"/>
  <c r="H1262" i="29"/>
  <c r="H1263" i="29"/>
  <c r="H1264" i="29"/>
  <c r="H1266" i="29"/>
  <c r="H1267" i="29"/>
  <c r="H1268" i="29"/>
  <c r="H1269" i="29"/>
  <c r="H1270" i="29"/>
  <c r="H1271" i="29"/>
  <c r="H1272" i="29"/>
  <c r="H1273" i="29"/>
  <c r="H1274" i="29"/>
  <c r="H1275" i="29"/>
  <c r="H1276" i="29"/>
  <c r="H1277" i="29"/>
  <c r="H1278" i="29"/>
  <c r="H1279" i="29"/>
  <c r="H1280" i="29"/>
  <c r="H1281" i="29"/>
  <c r="H1282" i="29"/>
  <c r="H1283" i="29"/>
  <c r="H1284" i="29"/>
  <c r="H1285" i="29"/>
  <c r="H1286" i="29"/>
  <c r="H1287" i="29"/>
  <c r="H1288" i="29"/>
  <c r="H1289" i="29"/>
  <c r="H1290" i="29"/>
  <c r="H1291" i="29"/>
  <c r="H1293" i="29"/>
  <c r="H1294" i="29"/>
  <c r="H1295" i="29"/>
  <c r="H1296" i="29"/>
  <c r="H1297" i="29"/>
  <c r="H1298" i="29"/>
  <c r="H1299" i="29"/>
  <c r="H1300" i="29"/>
  <c r="H1301" i="29"/>
  <c r="H1302" i="29"/>
  <c r="H1303" i="29"/>
  <c r="H1304" i="29"/>
  <c r="H1305" i="29"/>
  <c r="H1306" i="29"/>
  <c r="H1307" i="29"/>
  <c r="H1308" i="29"/>
  <c r="H1309" i="29"/>
  <c r="H1310" i="29"/>
  <c r="H1311" i="29"/>
  <c r="H1312" i="29"/>
  <c r="H1313" i="29"/>
  <c r="H1314" i="29"/>
  <c r="H1315" i="29"/>
  <c r="H1316" i="29"/>
  <c r="H1317" i="29"/>
  <c r="H1318" i="29"/>
  <c r="H1319" i="29"/>
  <c r="H1320" i="29"/>
  <c r="H1321" i="29"/>
  <c r="H1322" i="29"/>
  <c r="H1323" i="29"/>
  <c r="H1324" i="29"/>
  <c r="H1325" i="29"/>
  <c r="H1326" i="29"/>
  <c r="H1327" i="29"/>
  <c r="H1328" i="29"/>
  <c r="H1329" i="29"/>
  <c r="H1330" i="29"/>
  <c r="H1331" i="29"/>
  <c r="H1332" i="29"/>
  <c r="H1333" i="29"/>
  <c r="H1334" i="29"/>
  <c r="H1335" i="29"/>
  <c r="H1336" i="29"/>
  <c r="H1337" i="29"/>
  <c r="H1338" i="29"/>
  <c r="H1339" i="29"/>
  <c r="H1340" i="29"/>
  <c r="H1342" i="29"/>
  <c r="H1343" i="29"/>
  <c r="H1344" i="29"/>
  <c r="H1345" i="29"/>
  <c r="H1346" i="29"/>
  <c r="H1347" i="29"/>
  <c r="H1348" i="29"/>
  <c r="H1349" i="29"/>
  <c r="H1350" i="29"/>
  <c r="H1351" i="29"/>
  <c r="H1352" i="29"/>
  <c r="H1353" i="29"/>
  <c r="H1354" i="29"/>
  <c r="H1355" i="29"/>
  <c r="H1356" i="29"/>
  <c r="H1357" i="29"/>
  <c r="H1358" i="29"/>
  <c r="H1359" i="29"/>
  <c r="H1360" i="29"/>
  <c r="H1361" i="29"/>
  <c r="H1362" i="29"/>
  <c r="H1363" i="29"/>
  <c r="H1364" i="29"/>
  <c r="H1365" i="29"/>
  <c r="H1367" i="29"/>
  <c r="H1368" i="29"/>
  <c r="H1369" i="29"/>
  <c r="H1370" i="29"/>
  <c r="H1371" i="29"/>
  <c r="H1372" i="29"/>
  <c r="H1373" i="29"/>
  <c r="H1374" i="29"/>
  <c r="H1375" i="29"/>
  <c r="H1376" i="29"/>
  <c r="H1377" i="29"/>
  <c r="H1378" i="29"/>
  <c r="H1379" i="29"/>
  <c r="H1380" i="29"/>
  <c r="H1381" i="29"/>
  <c r="H1382" i="29"/>
  <c r="H1383" i="29"/>
  <c r="H1384" i="29"/>
  <c r="H1385" i="29"/>
  <c r="H1386" i="29"/>
  <c r="H1387" i="29"/>
  <c r="H1388" i="29"/>
  <c r="H1389" i="29"/>
  <c r="H1390" i="29"/>
  <c r="H1391" i="29"/>
  <c r="H1392" i="29"/>
  <c r="H1393" i="29"/>
  <c r="H1394" i="29"/>
  <c r="H1395" i="29"/>
  <c r="H1396" i="29"/>
  <c r="H1397" i="29"/>
  <c r="H1398" i="29"/>
  <c r="H1399" i="29"/>
  <c r="H1400" i="29"/>
  <c r="H1401" i="29"/>
  <c r="H1402" i="29"/>
  <c r="H1403" i="29"/>
  <c r="H1404" i="29"/>
  <c r="H1405" i="29"/>
  <c r="H1406" i="29"/>
  <c r="H1407" i="29"/>
  <c r="H1408" i="29"/>
  <c r="H1409" i="29"/>
  <c r="H1410" i="29"/>
  <c r="H1411" i="29"/>
  <c r="H1412" i="29"/>
  <c r="H1414" i="29"/>
  <c r="H1415" i="29"/>
  <c r="H1416" i="29"/>
  <c r="H1417" i="29"/>
  <c r="H1418" i="29"/>
  <c r="H1419" i="29"/>
  <c r="H1420" i="29"/>
  <c r="H1421" i="29"/>
  <c r="H1422" i="29"/>
  <c r="H1423" i="29"/>
  <c r="H1424" i="29"/>
  <c r="H1425" i="29"/>
  <c r="H1426" i="29"/>
  <c r="H1427" i="29"/>
  <c r="H1428" i="29"/>
  <c r="H1429" i="29"/>
  <c r="H1430" i="29"/>
  <c r="H1431" i="29"/>
  <c r="H1432" i="29"/>
  <c r="H1433" i="29"/>
  <c r="H1434" i="29"/>
  <c r="H1435" i="29"/>
  <c r="H1436" i="29"/>
  <c r="H1437" i="29"/>
  <c r="H1438" i="29"/>
  <c r="H1439" i="29"/>
  <c r="H1440" i="29"/>
  <c r="H1441" i="29"/>
  <c r="H1442" i="29"/>
  <c r="H1443" i="29"/>
  <c r="H1444" i="29"/>
  <c r="H1445" i="29"/>
  <c r="H1446" i="29"/>
  <c r="H1447" i="29"/>
  <c r="H1448" i="29"/>
  <c r="H1449" i="29"/>
  <c r="H1450" i="29"/>
  <c r="H1451" i="29"/>
  <c r="H1452" i="29"/>
  <c r="H1453" i="29"/>
  <c r="H1454" i="29"/>
  <c r="H1455" i="29"/>
  <c r="H1456" i="29"/>
  <c r="H1457" i="29"/>
  <c r="H1458" i="29"/>
  <c r="H1459" i="29"/>
  <c r="H1460" i="29"/>
  <c r="H1462" i="29"/>
  <c r="H1463" i="29"/>
  <c r="H1464" i="29"/>
  <c r="H1465" i="29"/>
  <c r="H1466" i="29"/>
  <c r="H1467" i="29"/>
  <c r="H1468" i="29"/>
  <c r="H1469" i="29"/>
  <c r="H1470" i="29"/>
  <c r="H1471" i="29"/>
  <c r="H1472" i="29"/>
  <c r="H1473" i="29"/>
  <c r="H1474" i="29"/>
  <c r="H1475" i="29"/>
  <c r="H1476" i="29"/>
  <c r="H1477" i="29"/>
  <c r="H1478" i="29"/>
  <c r="H1479" i="29"/>
  <c r="H1480" i="29"/>
  <c r="H1481" i="29"/>
  <c r="H1482" i="29"/>
  <c r="H1483" i="29"/>
  <c r="H1484" i="29"/>
  <c r="H1485" i="29"/>
  <c r="H1486" i="29"/>
  <c r="H1487" i="29"/>
  <c r="H1488" i="29"/>
  <c r="H1489" i="29"/>
  <c r="H1490" i="29"/>
  <c r="H1491" i="29"/>
  <c r="H1492" i="29"/>
  <c r="H1493" i="29"/>
  <c r="H1494" i="29"/>
  <c r="H1495" i="29"/>
  <c r="H1496" i="29"/>
  <c r="H1497" i="29"/>
  <c r="H1498" i="29"/>
  <c r="H1499" i="29"/>
  <c r="H1500" i="29"/>
  <c r="H1501" i="29"/>
  <c r="H1502" i="29"/>
  <c r="H1503" i="29"/>
  <c r="H1504" i="29"/>
  <c r="H1505" i="29"/>
  <c r="H1506" i="29"/>
  <c r="H1507" i="29"/>
  <c r="H1508" i="29"/>
  <c r="H1510" i="29"/>
  <c r="H1511" i="29"/>
  <c r="H1512" i="29"/>
  <c r="H1513" i="29"/>
  <c r="H1514" i="29"/>
  <c r="H1515" i="29"/>
  <c r="H1516" i="29"/>
  <c r="H1517" i="29"/>
  <c r="H1518" i="29"/>
  <c r="H1519" i="29"/>
  <c r="H1520" i="29"/>
  <c r="H1521" i="29"/>
  <c r="H1522" i="29"/>
  <c r="H1523" i="29"/>
  <c r="H1524" i="29"/>
  <c r="H1525" i="29"/>
  <c r="H1526" i="29"/>
  <c r="H1527" i="29"/>
  <c r="H1528" i="29"/>
  <c r="H1529" i="29"/>
  <c r="H1530" i="29"/>
  <c r="H1531" i="29"/>
  <c r="H1532" i="29"/>
  <c r="H1533" i="29"/>
  <c r="H1534" i="29"/>
  <c r="H1535" i="29"/>
  <c r="H1536" i="29"/>
  <c r="H1537" i="29"/>
  <c r="H1538" i="29"/>
  <c r="H1539" i="29"/>
  <c r="H1540" i="29"/>
  <c r="H1541" i="29"/>
  <c r="H1542" i="29"/>
  <c r="H1543" i="29"/>
  <c r="H1544" i="29"/>
  <c r="H1545" i="29"/>
  <c r="H1546" i="29"/>
  <c r="H1547" i="29"/>
  <c r="H1548" i="29"/>
  <c r="H1549" i="29"/>
  <c r="H1550" i="29"/>
  <c r="H1551" i="29"/>
  <c r="H1552" i="29"/>
  <c r="H1553" i="29"/>
  <c r="H1554" i="29"/>
  <c r="H1555" i="29"/>
  <c r="H1556" i="29"/>
  <c r="H1558" i="29"/>
  <c r="H1559" i="29"/>
  <c r="H1560" i="29"/>
  <c r="H1561" i="29"/>
  <c r="H1562" i="29"/>
  <c r="H1563" i="29"/>
  <c r="H1564" i="29"/>
  <c r="H1565" i="29"/>
  <c r="H1566" i="29"/>
  <c r="H1567" i="29"/>
  <c r="H1568" i="29"/>
  <c r="H1569" i="29"/>
  <c r="H1570" i="29"/>
  <c r="H1571" i="29"/>
  <c r="H1572" i="29"/>
  <c r="H1573" i="29"/>
  <c r="H1574" i="29"/>
  <c r="H1575" i="29"/>
  <c r="H1576" i="29"/>
  <c r="H1577" i="29"/>
  <c r="H1578" i="29"/>
  <c r="H1579" i="29"/>
  <c r="H1580" i="29"/>
  <c r="H1581" i="29"/>
  <c r="H1582" i="29"/>
  <c r="H1583" i="29"/>
  <c r="H1584" i="29"/>
  <c r="H1585" i="29"/>
  <c r="H1586" i="29"/>
  <c r="H1587" i="29"/>
  <c r="H1588" i="29"/>
  <c r="H1589" i="29"/>
  <c r="H1590" i="29"/>
  <c r="H1591" i="29"/>
  <c r="H1592" i="29"/>
  <c r="H1593" i="29"/>
  <c r="H1594" i="29"/>
  <c r="H1595" i="29"/>
  <c r="H1596" i="29"/>
  <c r="H1597" i="29"/>
  <c r="H1598" i="29"/>
  <c r="H1599" i="29"/>
  <c r="H1600" i="29"/>
  <c r="H1601" i="29"/>
  <c r="H1602" i="29"/>
  <c r="H1603" i="29"/>
  <c r="H1604" i="29"/>
  <c r="H1606" i="29"/>
  <c r="H1607" i="29"/>
  <c r="H1608" i="29"/>
  <c r="H1609" i="29"/>
  <c r="H1610" i="29"/>
  <c r="H1611" i="29"/>
  <c r="H1612" i="29"/>
  <c r="H1613" i="29"/>
  <c r="H1614" i="29"/>
  <c r="H1615" i="29"/>
  <c r="H1616" i="29"/>
  <c r="H1617" i="29"/>
  <c r="H1618" i="29"/>
  <c r="H1619" i="29"/>
  <c r="H1620" i="29"/>
  <c r="H1621" i="29"/>
  <c r="H1622" i="29"/>
  <c r="H1623" i="29"/>
  <c r="H1624" i="29"/>
  <c r="H1625" i="29"/>
  <c r="H1626" i="29"/>
  <c r="H1627" i="29"/>
  <c r="H1628" i="29"/>
  <c r="H1629" i="29"/>
  <c r="H1630" i="29"/>
  <c r="H1631" i="29"/>
  <c r="H1632" i="29"/>
  <c r="H1633" i="29"/>
  <c r="H1634" i="29"/>
  <c r="H1635" i="29"/>
  <c r="H1636" i="29"/>
  <c r="H1637" i="29"/>
  <c r="H1638" i="29"/>
  <c r="H1639" i="29"/>
  <c r="H1640" i="29"/>
  <c r="H1641" i="29"/>
  <c r="H1642" i="29"/>
  <c r="H1643" i="29"/>
  <c r="H1644" i="29"/>
  <c r="H1645" i="29"/>
  <c r="H1646" i="29"/>
  <c r="H1647" i="29"/>
  <c r="H1648" i="29"/>
  <c r="H1649" i="29"/>
  <c r="H1650" i="29"/>
  <c r="H1651" i="29"/>
  <c r="H1652" i="29"/>
  <c r="H1654" i="29"/>
  <c r="H1655" i="29"/>
  <c r="H1656" i="29"/>
  <c r="H1657" i="29"/>
  <c r="H1658" i="29"/>
  <c r="H1659" i="29"/>
  <c r="H1660" i="29"/>
  <c r="H1661" i="29"/>
  <c r="H1662" i="29"/>
  <c r="H1663" i="29"/>
  <c r="H1664" i="29"/>
  <c r="H1665" i="29"/>
  <c r="H1666" i="29"/>
  <c r="H1667" i="29"/>
  <c r="H1668" i="29"/>
  <c r="H1669" i="29"/>
  <c r="H1670" i="29"/>
  <c r="H1671" i="29"/>
  <c r="H1672" i="29"/>
  <c r="H1673" i="29"/>
  <c r="H1674" i="29"/>
  <c r="H1675" i="29"/>
  <c r="H1676" i="29"/>
  <c r="H1677" i="29"/>
  <c r="H1678" i="29"/>
  <c r="H1679" i="29"/>
  <c r="H1680" i="29"/>
  <c r="H1681" i="29"/>
  <c r="H1682" i="29"/>
  <c r="H1683" i="29"/>
  <c r="H1684" i="29"/>
  <c r="H1685" i="29"/>
  <c r="H1686" i="29"/>
  <c r="H1687" i="29"/>
  <c r="H1688" i="29"/>
  <c r="H1689" i="29"/>
  <c r="H1690" i="29"/>
  <c r="H1691" i="29"/>
  <c r="H1692" i="29"/>
  <c r="H1693" i="29"/>
  <c r="H1694" i="29"/>
  <c r="H1695" i="29"/>
  <c r="H1696" i="29"/>
  <c r="H1697" i="29"/>
  <c r="H1698" i="29"/>
  <c r="H1699" i="29"/>
  <c r="H1700" i="29"/>
  <c r="H1702" i="29"/>
  <c r="H1703" i="29"/>
  <c r="H1704" i="29"/>
  <c r="H1705" i="29"/>
  <c r="H1706" i="29"/>
  <c r="H1707" i="29"/>
  <c r="H1708" i="29"/>
  <c r="H1709" i="29"/>
  <c r="H1710" i="29"/>
  <c r="H1711" i="29"/>
  <c r="H1712" i="29"/>
  <c r="H1713" i="29"/>
  <c r="H1714" i="29"/>
  <c r="H1715" i="29"/>
  <c r="H1716" i="29"/>
  <c r="H1717" i="29"/>
  <c r="H1718" i="29"/>
  <c r="H1719" i="29"/>
  <c r="H1720" i="29"/>
  <c r="H1721" i="29"/>
  <c r="H1722" i="29"/>
  <c r="H1723" i="29"/>
  <c r="H1724" i="29"/>
  <c r="H1725" i="29"/>
  <c r="H1726" i="29"/>
  <c r="H1727" i="29"/>
  <c r="H1728" i="29"/>
  <c r="H1729" i="29"/>
  <c r="H1730" i="29"/>
  <c r="H1731" i="29"/>
  <c r="H1732" i="29"/>
  <c r="H1733" i="29"/>
  <c r="H1734" i="29"/>
  <c r="H1735" i="29"/>
  <c r="H1736" i="29"/>
  <c r="H1737" i="29"/>
  <c r="H1738" i="29"/>
  <c r="H1739" i="29"/>
  <c r="H1740" i="29"/>
  <c r="H1741" i="29"/>
  <c r="H1742" i="29"/>
  <c r="H1743" i="29"/>
  <c r="H1744" i="29"/>
  <c r="H1745" i="29"/>
  <c r="H1746" i="29"/>
  <c r="H1747" i="29"/>
  <c r="H1748" i="29"/>
  <c r="H1750" i="29"/>
  <c r="H1751" i="29"/>
  <c r="H1752" i="29"/>
  <c r="H1753" i="29"/>
  <c r="H1754" i="29"/>
  <c r="H1755" i="29"/>
  <c r="H1756" i="29"/>
  <c r="H1757" i="29"/>
  <c r="H1758" i="29"/>
  <c r="H1759" i="29"/>
  <c r="H1760" i="29"/>
  <c r="H1761" i="29"/>
  <c r="H1762" i="29"/>
  <c r="H1763" i="29"/>
  <c r="H1764" i="29"/>
  <c r="H1765" i="29"/>
  <c r="H1766" i="29"/>
  <c r="H1767" i="29"/>
  <c r="H1768" i="29"/>
  <c r="H1769" i="29"/>
  <c r="H1770" i="29"/>
  <c r="H1771" i="29"/>
  <c r="H1772" i="29"/>
  <c r="H1773" i="29"/>
  <c r="H1774" i="29"/>
  <c r="H1775" i="29"/>
  <c r="H1776" i="29"/>
  <c r="H1777" i="29"/>
  <c r="H1778" i="29"/>
  <c r="H1779" i="29"/>
  <c r="H1780" i="29"/>
  <c r="H1781" i="29"/>
  <c r="H1782" i="29"/>
  <c r="H1783" i="29"/>
  <c r="H1784" i="29"/>
  <c r="H1785" i="29"/>
  <c r="H1786" i="29"/>
  <c r="H1787" i="29"/>
  <c r="H1788" i="29"/>
  <c r="H1789" i="29"/>
  <c r="H1790" i="29"/>
  <c r="H1791" i="29"/>
  <c r="H1792" i="29"/>
  <c r="H1793" i="29"/>
  <c r="H1794" i="29"/>
  <c r="H1795" i="29"/>
  <c r="H1796" i="29"/>
  <c r="H1798" i="29"/>
  <c r="H1799" i="29"/>
  <c r="H1800" i="29"/>
  <c r="H1802" i="29"/>
  <c r="H1805" i="29"/>
  <c r="H1807" i="29"/>
  <c r="H1808" i="29"/>
  <c r="H1809" i="29"/>
  <c r="H1810" i="29"/>
  <c r="H1812" i="29"/>
  <c r="H1813" i="29"/>
  <c r="H1815" i="29"/>
  <c r="H1817" i="29"/>
  <c r="H1818" i="29"/>
  <c r="H1819" i="29"/>
  <c r="H1821" i="29"/>
  <c r="H1822" i="29"/>
  <c r="H1824" i="29"/>
  <c r="H1825" i="29"/>
  <c r="H1827" i="29"/>
  <c r="H1828" i="29"/>
  <c r="H1830" i="29"/>
  <c r="H1831" i="29"/>
  <c r="H1832" i="29"/>
  <c r="H1834" i="29"/>
  <c r="H1835" i="29"/>
  <c r="H1837" i="29"/>
  <c r="H1838" i="29"/>
  <c r="H1839" i="29"/>
  <c r="H1841" i="29"/>
  <c r="H1842" i="29"/>
  <c r="H1843" i="29"/>
  <c r="H1845" i="29"/>
  <c r="H1846" i="29"/>
  <c r="H1847" i="29"/>
  <c r="H1848" i="29"/>
  <c r="H1849" i="29"/>
  <c r="H1850" i="29"/>
  <c r="H1852" i="29"/>
  <c r="H1853" i="29"/>
  <c r="H1854" i="29"/>
  <c r="H1855" i="29"/>
  <c r="H1856" i="29"/>
  <c r="H1857" i="29"/>
  <c r="H1858" i="29"/>
  <c r="H1860" i="29"/>
  <c r="H1861" i="29"/>
  <c r="H1863" i="29"/>
  <c r="H1864" i="29"/>
  <c r="H1865" i="29"/>
  <c r="H1867" i="29"/>
  <c r="H1869" i="29"/>
  <c r="H1871" i="29"/>
  <c r="H1873" i="29"/>
  <c r="H1874" i="29"/>
  <c r="H1875" i="29"/>
  <c r="H1876" i="29"/>
  <c r="H1878" i="29"/>
  <c r="H1880" i="29"/>
  <c r="H1882" i="29"/>
  <c r="H1884" i="29"/>
  <c r="H1885" i="29"/>
  <c r="H1886" i="29"/>
  <c r="H1887" i="29"/>
  <c r="H1888" i="29"/>
  <c r="H1890" i="29"/>
  <c r="H1891" i="29"/>
  <c r="H1892" i="29"/>
  <c r="H1893" i="29"/>
  <c r="H1895" i="29"/>
  <c r="H1897" i="29"/>
  <c r="H1898" i="29"/>
  <c r="H1902" i="29"/>
  <c r="H1903" i="29"/>
  <c r="H1905" i="29"/>
  <c r="H1906" i="29"/>
  <c r="H1908" i="29"/>
  <c r="H1909" i="29"/>
  <c r="H1911" i="29"/>
  <c r="H1913" i="29"/>
  <c r="H1914" i="29"/>
  <c r="H1915" i="29"/>
  <c r="H1916" i="29"/>
  <c r="H1917" i="29"/>
  <c r="H1918" i="29"/>
  <c r="H1919" i="29"/>
  <c r="H1921" i="29"/>
  <c r="H1923" i="29"/>
  <c r="H1924" i="29"/>
  <c r="H1926" i="29"/>
  <c r="H1927" i="29"/>
  <c r="H1931" i="29"/>
  <c r="H1932" i="29"/>
  <c r="H1934" i="29"/>
  <c r="H1935" i="29"/>
  <c r="H1937" i="29"/>
  <c r="H1938" i="29"/>
  <c r="H1940" i="29"/>
  <c r="H1941" i="29"/>
  <c r="H1942" i="29"/>
  <c r="H1944" i="29"/>
  <c r="H1945" i="29"/>
  <c r="H1946" i="29"/>
  <c r="H1947" i="29"/>
  <c r="H1949" i="29"/>
  <c r="H1950" i="29"/>
  <c r="H1952" i="29"/>
  <c r="H1953" i="29"/>
  <c r="H1954" i="29"/>
  <c r="H1956" i="29"/>
  <c r="H1958" i="29"/>
  <c r="H1959" i="29"/>
  <c r="H1961" i="29"/>
  <c r="H1962" i="29"/>
  <c r="H1964" i="29"/>
  <c r="H1965" i="29"/>
  <c r="H1967" i="29"/>
  <c r="H1968" i="29"/>
  <c r="H1970" i="29"/>
  <c r="H1971" i="29"/>
  <c r="H1973" i="29"/>
  <c r="H1975" i="29"/>
  <c r="H1977" i="29"/>
  <c r="H1979" i="29"/>
  <c r="H1981" i="29"/>
  <c r="H1983" i="29"/>
  <c r="H1985" i="29"/>
  <c r="H1987" i="29"/>
  <c r="H1989" i="29"/>
  <c r="H1991" i="29"/>
  <c r="H1993" i="29"/>
  <c r="H1995" i="29"/>
  <c r="H1997" i="29"/>
  <c r="H1998" i="29"/>
  <c r="H1999" i="29"/>
  <c r="H2000" i="29"/>
  <c r="H2001" i="29"/>
  <c r="H2003" i="29"/>
  <c r="H2004" i="29"/>
  <c r="H2005" i="29"/>
  <c r="H2006" i="29"/>
  <c r="H2007" i="29"/>
  <c r="H2008" i="29"/>
  <c r="H2009" i="29"/>
  <c r="H2010" i="29"/>
  <c r="H2015" i="29"/>
  <c r="H2016" i="29"/>
  <c r="I2015" i="29"/>
  <c r="I2016"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94" i="29"/>
  <c r="I95"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121" i="29"/>
  <c r="I122" i="29"/>
  <c r="I123" i="29"/>
  <c r="I124" i="29"/>
  <c r="I126" i="29"/>
  <c r="I127" i="29"/>
  <c r="I128" i="29"/>
  <c r="I129" i="29"/>
  <c r="I130" i="29"/>
  <c r="I131" i="29"/>
  <c r="I132" i="29"/>
  <c r="I133" i="29"/>
  <c r="I134" i="29"/>
  <c r="I135" i="29"/>
  <c r="I136" i="29"/>
  <c r="I137" i="29"/>
  <c r="I138" i="29"/>
  <c r="I139" i="29"/>
  <c r="I140" i="29"/>
  <c r="I141" i="29"/>
  <c r="I142" i="29"/>
  <c r="I143" i="29"/>
  <c r="I144" i="29"/>
  <c r="I145" i="29"/>
  <c r="I146" i="29"/>
  <c r="I147" i="29"/>
  <c r="I148" i="29"/>
  <c r="I149" i="29"/>
  <c r="I150" i="29"/>
  <c r="I151" i="29"/>
  <c r="I152" i="29"/>
  <c r="I153" i="29"/>
  <c r="I154" i="29"/>
  <c r="I155" i="29"/>
  <c r="I156" i="29"/>
  <c r="I157" i="29"/>
  <c r="I159" i="29"/>
  <c r="I160" i="29"/>
  <c r="I161" i="29"/>
  <c r="I162" i="29"/>
  <c r="I163" i="29"/>
  <c r="I164" i="29"/>
  <c r="I165" i="29"/>
  <c r="I166" i="29"/>
  <c r="I167" i="29"/>
  <c r="I168" i="29"/>
  <c r="I169" i="29"/>
  <c r="I170" i="29"/>
  <c r="I171" i="29"/>
  <c r="I172" i="29"/>
  <c r="I173" i="29"/>
  <c r="I174" i="29"/>
  <c r="I175" i="29"/>
  <c r="I176" i="29"/>
  <c r="I177" i="29"/>
  <c r="I178" i="29"/>
  <c r="I179" i="29"/>
  <c r="I180" i="29"/>
  <c r="I181" i="29"/>
  <c r="I182" i="29"/>
  <c r="I183" i="29"/>
  <c r="I184" i="29"/>
  <c r="I185" i="29"/>
  <c r="I186" i="29"/>
  <c r="I187" i="29"/>
  <c r="I188" i="29"/>
  <c r="I189" i="29"/>
  <c r="I190" i="29"/>
  <c r="I191" i="29"/>
  <c r="I192" i="29"/>
  <c r="I193" i="29"/>
  <c r="I194" i="29"/>
  <c r="I195" i="29"/>
  <c r="I196" i="29"/>
  <c r="I197" i="29"/>
  <c r="I198" i="29"/>
  <c r="I199" i="29"/>
  <c r="I200" i="29"/>
  <c r="I203" i="29"/>
  <c r="I204" i="29"/>
  <c r="I205" i="29"/>
  <c r="I206" i="29"/>
  <c r="I207" i="29"/>
  <c r="I208" i="29"/>
  <c r="I209" i="29"/>
  <c r="I210" i="29"/>
  <c r="I211" i="29"/>
  <c r="I212" i="29"/>
  <c r="I213" i="29"/>
  <c r="I214" i="29"/>
  <c r="I215" i="29"/>
  <c r="I216" i="29"/>
  <c r="I217" i="29"/>
  <c r="I218" i="29"/>
  <c r="I219" i="29"/>
  <c r="I220" i="29"/>
  <c r="I221" i="29"/>
  <c r="I222" i="29"/>
  <c r="I223" i="29"/>
  <c r="I224" i="29"/>
  <c r="I225" i="29"/>
  <c r="I226" i="29"/>
  <c r="I227" i="29"/>
  <c r="I228" i="29"/>
  <c r="I229" i="29"/>
  <c r="I230" i="29"/>
  <c r="I231" i="29"/>
  <c r="I232" i="29"/>
  <c r="I233" i="29"/>
  <c r="I234" i="29"/>
  <c r="I235" i="29"/>
  <c r="I236" i="29"/>
  <c r="I237" i="29"/>
  <c r="I238" i="29"/>
  <c r="I239" i="29"/>
  <c r="I240" i="29"/>
  <c r="I241" i="29"/>
  <c r="I242" i="29"/>
  <c r="I243" i="29"/>
  <c r="I245" i="29"/>
  <c r="I246" i="29"/>
  <c r="I247" i="29"/>
  <c r="I248" i="29"/>
  <c r="I249" i="29"/>
  <c r="I250" i="29"/>
  <c r="I251" i="29"/>
  <c r="I252" i="29"/>
  <c r="I253" i="29"/>
  <c r="I254" i="29"/>
  <c r="I255" i="29"/>
  <c r="I256" i="29"/>
  <c r="I257" i="29"/>
  <c r="I258" i="29"/>
  <c r="I259" i="29"/>
  <c r="I260" i="29"/>
  <c r="I261" i="29"/>
  <c r="I262" i="29"/>
  <c r="I263" i="29"/>
  <c r="I264" i="29"/>
  <c r="I265" i="29"/>
  <c r="I266" i="29"/>
  <c r="I267" i="29"/>
  <c r="I268" i="29"/>
  <c r="I269" i="29"/>
  <c r="I270" i="29"/>
  <c r="I271" i="29"/>
  <c r="I272" i="29"/>
  <c r="I273" i="29"/>
  <c r="I274" i="29"/>
  <c r="I275" i="29"/>
  <c r="I276" i="29"/>
  <c r="I277" i="29"/>
  <c r="I278" i="29"/>
  <c r="I279" i="29"/>
  <c r="I280" i="29"/>
  <c r="I281" i="29"/>
  <c r="I282" i="29"/>
  <c r="I283" i="29"/>
  <c r="I284" i="29"/>
  <c r="I285" i="29"/>
  <c r="I286" i="29"/>
  <c r="I287" i="29"/>
  <c r="I288" i="29"/>
  <c r="I289" i="29"/>
  <c r="I290" i="29"/>
  <c r="I291" i="29"/>
  <c r="I292" i="29"/>
  <c r="I293" i="29"/>
  <c r="I294" i="29"/>
  <c r="I295" i="29"/>
  <c r="I296" i="29"/>
  <c r="I298" i="29"/>
  <c r="I299" i="29"/>
  <c r="I300" i="29"/>
  <c r="I301" i="29"/>
  <c r="I302" i="29"/>
  <c r="I303" i="29"/>
  <c r="I304" i="29"/>
  <c r="I305" i="29"/>
  <c r="I306" i="29"/>
  <c r="I307" i="29"/>
  <c r="I308" i="29"/>
  <c r="I309" i="29"/>
  <c r="I310" i="29"/>
  <c r="I311" i="29"/>
  <c r="I312" i="29"/>
  <c r="I313" i="29"/>
  <c r="I314" i="29"/>
  <c r="I315" i="29"/>
  <c r="I316" i="29"/>
  <c r="I317" i="29"/>
  <c r="I318" i="29"/>
  <c r="I319" i="29"/>
  <c r="I320" i="29"/>
  <c r="I321" i="29"/>
  <c r="I322" i="29"/>
  <c r="I323" i="29"/>
  <c r="I324" i="29"/>
  <c r="I325" i="29"/>
  <c r="I326" i="29"/>
  <c r="I328" i="29"/>
  <c r="I329" i="29"/>
  <c r="I330" i="29"/>
  <c r="I331" i="29"/>
  <c r="I332" i="29"/>
  <c r="I333" i="29"/>
  <c r="I334" i="29"/>
  <c r="I335" i="29"/>
  <c r="I336" i="29"/>
  <c r="I337" i="29"/>
  <c r="I338" i="29"/>
  <c r="I339" i="29"/>
  <c r="I340" i="29"/>
  <c r="I341" i="29"/>
  <c r="I342" i="29"/>
  <c r="I343" i="29"/>
  <c r="I344" i="29"/>
  <c r="I345" i="29"/>
  <c r="I346" i="29"/>
  <c r="I347" i="29"/>
  <c r="I348" i="29"/>
  <c r="I349" i="29"/>
  <c r="I350" i="29"/>
  <c r="I351" i="29"/>
  <c r="I352" i="29"/>
  <c r="I353" i="29"/>
  <c r="I354" i="29"/>
  <c r="I355" i="29"/>
  <c r="I356" i="29"/>
  <c r="I357" i="29"/>
  <c r="I358" i="29"/>
  <c r="I359" i="29"/>
  <c r="I360" i="29"/>
  <c r="I361" i="29"/>
  <c r="I362" i="29"/>
  <c r="I363" i="29"/>
  <c r="I364" i="29"/>
  <c r="I365" i="29"/>
  <c r="I366" i="29"/>
  <c r="I367" i="29"/>
  <c r="I368" i="29"/>
  <c r="I369" i="29"/>
  <c r="I370" i="29"/>
  <c r="I371" i="29"/>
  <c r="I373" i="29"/>
  <c r="I374" i="29"/>
  <c r="I375" i="29"/>
  <c r="I376" i="29"/>
  <c r="I377" i="29"/>
  <c r="I378" i="29"/>
  <c r="I379" i="29"/>
  <c r="I380" i="29"/>
  <c r="I381" i="29"/>
  <c r="I382" i="29"/>
  <c r="I383" i="29"/>
  <c r="I384" i="29"/>
  <c r="I385" i="29"/>
  <c r="I386" i="29"/>
  <c r="I387" i="29"/>
  <c r="I388" i="29"/>
  <c r="I389" i="29"/>
  <c r="I390" i="29"/>
  <c r="I391" i="29"/>
  <c r="I392" i="29"/>
  <c r="I393" i="29"/>
  <c r="I394" i="29"/>
  <c r="I395" i="29"/>
  <c r="I396" i="29"/>
  <c r="I397" i="29"/>
  <c r="I398" i="29"/>
  <c r="I399" i="29"/>
  <c r="I400" i="29"/>
  <c r="I401" i="29"/>
  <c r="I402" i="29"/>
  <c r="I403" i="29"/>
  <c r="I404" i="29"/>
  <c r="I405" i="29"/>
  <c r="I406" i="29"/>
  <c r="I407" i="29"/>
  <c r="I408" i="29"/>
  <c r="I409" i="29"/>
  <c r="I410" i="29"/>
  <c r="I411" i="29"/>
  <c r="I412" i="29"/>
  <c r="I414" i="29"/>
  <c r="I415" i="29"/>
  <c r="I416" i="29"/>
  <c r="I417" i="29"/>
  <c r="I418" i="29"/>
  <c r="I419" i="29"/>
  <c r="I420" i="29"/>
  <c r="I421" i="29"/>
  <c r="I422" i="29"/>
  <c r="I423" i="29"/>
  <c r="I424" i="29"/>
  <c r="I425" i="29"/>
  <c r="I426" i="29"/>
  <c r="I427" i="29"/>
  <c r="I428" i="29"/>
  <c r="I429" i="29"/>
  <c r="I430" i="29"/>
  <c r="I431" i="29"/>
  <c r="I432" i="29"/>
  <c r="I433" i="29"/>
  <c r="I434" i="29"/>
  <c r="I435" i="29"/>
  <c r="I436" i="29"/>
  <c r="I437" i="29"/>
  <c r="I438" i="29"/>
  <c r="I439" i="29"/>
  <c r="I440" i="29"/>
  <c r="I441" i="29"/>
  <c r="I442" i="29"/>
  <c r="I443" i="29"/>
  <c r="I444" i="29"/>
  <c r="I445" i="29"/>
  <c r="I447" i="29"/>
  <c r="I448" i="29"/>
  <c r="I449" i="29"/>
  <c r="I450" i="29"/>
  <c r="I451" i="29"/>
  <c r="I452" i="29"/>
  <c r="I453" i="29"/>
  <c r="I454" i="29"/>
  <c r="I455" i="29"/>
  <c r="I456" i="29"/>
  <c r="I457" i="29"/>
  <c r="I458" i="29"/>
  <c r="I459" i="29"/>
  <c r="I460" i="29"/>
  <c r="I461" i="29"/>
  <c r="I462" i="29"/>
  <c r="I463" i="29"/>
  <c r="I464" i="29"/>
  <c r="I465" i="29"/>
  <c r="I466" i="29"/>
  <c r="I467" i="29"/>
  <c r="I468" i="29"/>
  <c r="I469" i="29"/>
  <c r="I470" i="29"/>
  <c r="I471" i="29"/>
  <c r="I472" i="29"/>
  <c r="I473" i="29"/>
  <c r="I474" i="29"/>
  <c r="I475" i="29"/>
  <c r="I476" i="29"/>
  <c r="I477" i="29"/>
  <c r="I478" i="29"/>
  <c r="I479" i="29"/>
  <c r="I480" i="29"/>
  <c r="I481" i="29"/>
  <c r="I482" i="29"/>
  <c r="I483" i="29"/>
  <c r="I484" i="29"/>
  <c r="I485" i="29"/>
  <c r="I486" i="29"/>
  <c r="I487" i="29"/>
  <c r="I488" i="29"/>
  <c r="I489" i="29"/>
  <c r="I490" i="29"/>
  <c r="I491" i="29"/>
  <c r="I492" i="29"/>
  <c r="I493" i="29"/>
  <c r="I494" i="29"/>
  <c r="I495" i="29"/>
  <c r="I497" i="29"/>
  <c r="I498" i="29"/>
  <c r="I499" i="29"/>
  <c r="I500" i="29"/>
  <c r="I501" i="29"/>
  <c r="I502" i="29"/>
  <c r="I503" i="29"/>
  <c r="I504" i="29"/>
  <c r="I505" i="29"/>
  <c r="I506" i="29"/>
  <c r="I507" i="29"/>
  <c r="I508" i="29"/>
  <c r="I509" i="29"/>
  <c r="I510" i="29"/>
  <c r="I511" i="29"/>
  <c r="I512" i="29"/>
  <c r="I513" i="29"/>
  <c r="I514" i="29"/>
  <c r="I515" i="29"/>
  <c r="I516" i="29"/>
  <c r="I517" i="29"/>
  <c r="I518" i="29"/>
  <c r="I519" i="29"/>
  <c r="I520" i="29"/>
  <c r="I521" i="29"/>
  <c r="I522" i="29"/>
  <c r="I523" i="29"/>
  <c r="I524" i="29"/>
  <c r="I525" i="29"/>
  <c r="I526" i="29"/>
  <c r="I527" i="29"/>
  <c r="I528" i="29"/>
  <c r="I529" i="29"/>
  <c r="I530" i="29"/>
  <c r="I531" i="29"/>
  <c r="I532" i="29"/>
  <c r="I533" i="29"/>
  <c r="I534" i="29"/>
  <c r="I536" i="29"/>
  <c r="I537" i="29"/>
  <c r="I538" i="29"/>
  <c r="I539" i="29"/>
  <c r="I540" i="29"/>
  <c r="I541" i="29"/>
  <c r="I542" i="29"/>
  <c r="I543" i="29"/>
  <c r="I544" i="29"/>
  <c r="I545" i="29"/>
  <c r="I546" i="29"/>
  <c r="I547" i="29"/>
  <c r="I548" i="29"/>
  <c r="I549" i="29"/>
  <c r="I550" i="29"/>
  <c r="I551" i="29"/>
  <c r="I552" i="29"/>
  <c r="I553" i="29"/>
  <c r="I554" i="29"/>
  <c r="I555" i="29"/>
  <c r="I556" i="29"/>
  <c r="I557" i="29"/>
  <c r="I558" i="29"/>
  <c r="I559" i="29"/>
  <c r="I560" i="29"/>
  <c r="I561" i="29"/>
  <c r="I562" i="29"/>
  <c r="I563" i="29"/>
  <c r="I564" i="29"/>
  <c r="I565" i="29"/>
  <c r="I566" i="29"/>
  <c r="I567" i="29"/>
  <c r="I568" i="29"/>
  <c r="I569" i="29"/>
  <c r="I570" i="29"/>
  <c r="I571" i="29"/>
  <c r="I572" i="29"/>
  <c r="I573" i="29"/>
  <c r="I574" i="29"/>
  <c r="I575" i="29"/>
  <c r="I576" i="29"/>
  <c r="I577" i="29"/>
  <c r="I578" i="29"/>
  <c r="I579" i="29"/>
  <c r="I580" i="29"/>
  <c r="I581" i="29"/>
  <c r="I582" i="29"/>
  <c r="I583" i="29"/>
  <c r="I584" i="29"/>
  <c r="I585" i="29"/>
  <c r="I586" i="29"/>
  <c r="I587" i="29"/>
  <c r="I588" i="29"/>
  <c r="I589" i="29"/>
  <c r="I590" i="29"/>
  <c r="I591" i="29"/>
  <c r="I592" i="29"/>
  <c r="I593" i="29"/>
  <c r="I594" i="29"/>
  <c r="I595" i="29"/>
  <c r="I596" i="29"/>
  <c r="I597" i="29"/>
  <c r="I598" i="29"/>
  <c r="I599" i="29"/>
  <c r="I600" i="29"/>
  <c r="I601" i="29"/>
  <c r="I602" i="29"/>
  <c r="I603" i="29"/>
  <c r="I604" i="29"/>
  <c r="I606" i="29"/>
  <c r="I607" i="29"/>
  <c r="I608" i="29"/>
  <c r="I609" i="29"/>
  <c r="I610" i="29"/>
  <c r="I611" i="29"/>
  <c r="I612" i="29"/>
  <c r="I613" i="29"/>
  <c r="I614" i="29"/>
  <c r="I615" i="29"/>
  <c r="I616" i="29"/>
  <c r="I617" i="29"/>
  <c r="I618" i="29"/>
  <c r="I619" i="29"/>
  <c r="I620" i="29"/>
  <c r="I621" i="29"/>
  <c r="I622" i="29"/>
  <c r="I623" i="29"/>
  <c r="I624" i="29"/>
  <c r="I625" i="29"/>
  <c r="I626" i="29"/>
  <c r="I628" i="29"/>
  <c r="I629" i="29"/>
  <c r="I630" i="29"/>
  <c r="I631" i="29"/>
  <c r="I632" i="29"/>
  <c r="I633" i="29"/>
  <c r="I634" i="29"/>
  <c r="I635" i="29"/>
  <c r="I636" i="29"/>
  <c r="I637" i="29"/>
  <c r="I638" i="29"/>
  <c r="I639" i="29"/>
  <c r="I640" i="29"/>
  <c r="I641" i="29"/>
  <c r="I642" i="29"/>
  <c r="I643" i="29"/>
  <c r="I644" i="29"/>
  <c r="I645" i="29"/>
  <c r="I646" i="29"/>
  <c r="I647" i="29"/>
  <c r="I648" i="29"/>
  <c r="I649" i="29"/>
  <c r="I650" i="29"/>
  <c r="I651" i="29"/>
  <c r="I652" i="29"/>
  <c r="I653" i="29"/>
  <c r="I654" i="29"/>
  <c r="I655" i="29"/>
  <c r="I656" i="29"/>
  <c r="I657" i="29"/>
  <c r="I658" i="29"/>
  <c r="I660" i="29"/>
  <c r="I661" i="29"/>
  <c r="I662" i="29"/>
  <c r="I663" i="29"/>
  <c r="I664" i="29"/>
  <c r="I665" i="29"/>
  <c r="I666" i="29"/>
  <c r="I667" i="29"/>
  <c r="I668" i="29"/>
  <c r="I669" i="29"/>
  <c r="I670" i="29"/>
  <c r="I671" i="29"/>
  <c r="I672" i="29"/>
  <c r="I673" i="29"/>
  <c r="I674" i="29"/>
  <c r="I675" i="29"/>
  <c r="I676" i="29"/>
  <c r="I677" i="29"/>
  <c r="I678" i="29"/>
  <c r="I679" i="29"/>
  <c r="I680" i="29"/>
  <c r="I681" i="29"/>
  <c r="I682" i="29"/>
  <c r="I683" i="29"/>
  <c r="I684" i="29"/>
  <c r="I685" i="29"/>
  <c r="I686" i="29"/>
  <c r="I687" i="29"/>
  <c r="I688" i="29"/>
  <c r="I689" i="29"/>
  <c r="I690" i="29"/>
  <c r="I691" i="29"/>
  <c r="I692" i="29"/>
  <c r="I693" i="29"/>
  <c r="I694" i="29"/>
  <c r="I695" i="29"/>
  <c r="I696" i="29"/>
  <c r="I697" i="29"/>
  <c r="I698" i="29"/>
  <c r="I699" i="29"/>
  <c r="I700" i="29"/>
  <c r="I701" i="29"/>
  <c r="I702" i="29"/>
  <c r="I704" i="29"/>
  <c r="I705" i="29"/>
  <c r="I706" i="29"/>
  <c r="I707" i="29"/>
  <c r="I708" i="29"/>
  <c r="I709" i="29"/>
  <c r="I710" i="29"/>
  <c r="I711" i="29"/>
  <c r="I712" i="29"/>
  <c r="I713" i="29"/>
  <c r="I714" i="29"/>
  <c r="I715" i="29"/>
  <c r="I716" i="29"/>
  <c r="I717" i="29"/>
  <c r="I718" i="29"/>
  <c r="I719" i="29"/>
  <c r="I720" i="29"/>
  <c r="I721" i="29"/>
  <c r="I722" i="29"/>
  <c r="I723" i="29"/>
  <c r="I724" i="29"/>
  <c r="I725" i="29"/>
  <c r="I726" i="29"/>
  <c r="I727" i="29"/>
  <c r="I728" i="29"/>
  <c r="I729" i="29"/>
  <c r="I730" i="29"/>
  <c r="I731" i="29"/>
  <c r="I732" i="29"/>
  <c r="I733" i="29"/>
  <c r="I734" i="29"/>
  <c r="I735" i="29"/>
  <c r="I736" i="29"/>
  <c r="I737" i="29"/>
  <c r="I738" i="29"/>
  <c r="I739" i="29"/>
  <c r="I740" i="29"/>
  <c r="I741" i="29"/>
  <c r="I742" i="29"/>
  <c r="I743" i="29"/>
  <c r="I744" i="29"/>
  <c r="I745" i="29"/>
  <c r="I746" i="29"/>
  <c r="I747" i="29"/>
  <c r="I749" i="29"/>
  <c r="I750" i="29"/>
  <c r="I751" i="29"/>
  <c r="I752" i="29"/>
  <c r="I753" i="29"/>
  <c r="I754" i="29"/>
  <c r="I755" i="29"/>
  <c r="I756" i="29"/>
  <c r="I757" i="29"/>
  <c r="I758" i="29"/>
  <c r="I759" i="29"/>
  <c r="I760" i="29"/>
  <c r="I761" i="29"/>
  <c r="I762" i="29"/>
  <c r="I763" i="29"/>
  <c r="I764" i="29"/>
  <c r="I765" i="29"/>
  <c r="I766" i="29"/>
  <c r="I767" i="29"/>
  <c r="I768" i="29"/>
  <c r="I769" i="29"/>
  <c r="I770" i="29"/>
  <c r="I771" i="29"/>
  <c r="I772" i="29"/>
  <c r="I773" i="29"/>
  <c r="I774" i="29"/>
  <c r="I775" i="29"/>
  <c r="I776" i="29"/>
  <c r="I777" i="29"/>
  <c r="I778" i="29"/>
  <c r="I779" i="29"/>
  <c r="I780" i="29"/>
  <c r="I781" i="29"/>
  <c r="I782" i="29"/>
  <c r="I783" i="29"/>
  <c r="I784" i="29"/>
  <c r="I785" i="29"/>
  <c r="I787" i="29"/>
  <c r="I788" i="29"/>
  <c r="I789" i="29"/>
  <c r="I790" i="29"/>
  <c r="I791" i="29"/>
  <c r="I792" i="29"/>
  <c r="I793" i="29"/>
  <c r="I794" i="29"/>
  <c r="I795" i="29"/>
  <c r="I796" i="29"/>
  <c r="I797" i="29"/>
  <c r="I798" i="29"/>
  <c r="I799" i="29"/>
  <c r="I800" i="29"/>
  <c r="I801" i="29"/>
  <c r="I802" i="29"/>
  <c r="I803" i="29"/>
  <c r="I804" i="29"/>
  <c r="I805" i="29"/>
  <c r="I806" i="29"/>
  <c r="I807" i="29"/>
  <c r="I808" i="29"/>
  <c r="I809" i="29"/>
  <c r="I810" i="29"/>
  <c r="I811" i="29"/>
  <c r="I812" i="29"/>
  <c r="I813" i="29"/>
  <c r="I814" i="29"/>
  <c r="I815" i="29"/>
  <c r="I816" i="29"/>
  <c r="I817" i="29"/>
  <c r="I818" i="29"/>
  <c r="I819" i="29"/>
  <c r="I820" i="29"/>
  <c r="I821" i="29"/>
  <c r="I822" i="29"/>
  <c r="I823" i="29"/>
  <c r="I824" i="29"/>
  <c r="I825" i="29"/>
  <c r="I826" i="29"/>
  <c r="I827" i="29"/>
  <c r="I828" i="29"/>
  <c r="I829" i="29"/>
  <c r="I830" i="29"/>
  <c r="I831" i="29"/>
  <c r="I832" i="29"/>
  <c r="I833" i="29"/>
  <c r="I834" i="29"/>
  <c r="I835" i="29"/>
  <c r="I836" i="29"/>
  <c r="I837" i="29"/>
  <c r="I838" i="29"/>
  <c r="I839" i="29"/>
  <c r="I840" i="29"/>
  <c r="I841" i="29"/>
  <c r="I842" i="29"/>
  <c r="I843" i="29"/>
  <c r="I844" i="29"/>
  <c r="I845" i="29"/>
  <c r="I846" i="29"/>
  <c r="I847" i="29"/>
  <c r="I848" i="29"/>
  <c r="I849" i="29"/>
  <c r="I850" i="29"/>
  <c r="I851" i="29"/>
  <c r="I852" i="29"/>
  <c r="I853" i="29"/>
  <c r="I854" i="29"/>
  <c r="I855" i="29"/>
  <c r="I856" i="29"/>
  <c r="I857" i="29"/>
  <c r="I858" i="29"/>
  <c r="I859" i="29"/>
  <c r="I860" i="29"/>
  <c r="I861" i="29"/>
  <c r="I862" i="29"/>
  <c r="I863" i="29"/>
  <c r="I864" i="29"/>
  <c r="I865" i="29"/>
  <c r="I866" i="29"/>
  <c r="I867" i="29"/>
  <c r="I868" i="29"/>
  <c r="I869" i="29"/>
  <c r="I870" i="29"/>
  <c r="I871" i="29"/>
  <c r="I872" i="29"/>
  <c r="I873" i="29"/>
  <c r="I874" i="29"/>
  <c r="I875" i="29"/>
  <c r="I876" i="29"/>
  <c r="I877" i="29"/>
  <c r="I878" i="29"/>
  <c r="I879" i="29"/>
  <c r="I880" i="29"/>
  <c r="I881" i="29"/>
  <c r="I882" i="29"/>
  <c r="I883" i="29"/>
  <c r="I884" i="29"/>
  <c r="I885" i="29"/>
  <c r="I886" i="29"/>
  <c r="I887" i="29"/>
  <c r="I888" i="29"/>
  <c r="I889" i="29"/>
  <c r="I890" i="29"/>
  <c r="I891" i="29"/>
  <c r="I892" i="29"/>
  <c r="I893" i="29"/>
  <c r="I894" i="29"/>
  <c r="I895" i="29"/>
  <c r="I896" i="29"/>
  <c r="I897" i="29"/>
  <c r="I898" i="29"/>
  <c r="I899" i="29"/>
  <c r="I900" i="29"/>
  <c r="I901" i="29"/>
  <c r="I902" i="29"/>
  <c r="I903" i="29"/>
  <c r="I904" i="29"/>
  <c r="I905" i="29"/>
  <c r="I906" i="29"/>
  <c r="I907" i="29"/>
  <c r="I909" i="29"/>
  <c r="I910" i="29"/>
  <c r="I911" i="29"/>
  <c r="I912" i="29"/>
  <c r="I913" i="29"/>
  <c r="I914" i="29"/>
  <c r="I915" i="29"/>
  <c r="I916" i="29"/>
  <c r="I917" i="29"/>
  <c r="I918" i="29"/>
  <c r="I919" i="29"/>
  <c r="I920" i="29"/>
  <c r="I921" i="29"/>
  <c r="I922" i="29"/>
  <c r="I923" i="29"/>
  <c r="I924" i="29"/>
  <c r="I925" i="29"/>
  <c r="I926" i="29"/>
  <c r="I927" i="29"/>
  <c r="I928" i="29"/>
  <c r="I929" i="29"/>
  <c r="I930" i="29"/>
  <c r="I931" i="29"/>
  <c r="I932" i="29"/>
  <c r="I933" i="29"/>
  <c r="I934" i="29"/>
  <c r="I935" i="29"/>
  <c r="I936" i="29"/>
  <c r="I937" i="29"/>
  <c r="I938" i="29"/>
  <c r="I939" i="29"/>
  <c r="I940" i="29"/>
  <c r="I941" i="29"/>
  <c r="I942" i="29"/>
  <c r="I944" i="29"/>
  <c r="I945" i="29"/>
  <c r="I946" i="29"/>
  <c r="I947" i="29"/>
  <c r="I948" i="29"/>
  <c r="I949" i="29"/>
  <c r="I950" i="29"/>
  <c r="I951" i="29"/>
  <c r="I952" i="29"/>
  <c r="I953" i="29"/>
  <c r="I954" i="29"/>
  <c r="I955" i="29"/>
  <c r="I956" i="29"/>
  <c r="I957" i="29"/>
  <c r="I958" i="29"/>
  <c r="I959" i="29"/>
  <c r="I960" i="29"/>
  <c r="I961" i="29"/>
  <c r="I962" i="29"/>
  <c r="I963" i="29"/>
  <c r="I964" i="29"/>
  <c r="I965" i="29"/>
  <c r="I966" i="29"/>
  <c r="I967" i="29"/>
  <c r="I968" i="29"/>
  <c r="I969" i="29"/>
  <c r="I970" i="29"/>
  <c r="I971" i="29"/>
  <c r="I972" i="29"/>
  <c r="I973" i="29"/>
  <c r="I974" i="29"/>
  <c r="I975" i="29"/>
  <c r="I976" i="29"/>
  <c r="I977" i="29"/>
  <c r="I978" i="29"/>
  <c r="I979" i="29"/>
  <c r="I980" i="29"/>
  <c r="I981" i="29"/>
  <c r="I982" i="29"/>
  <c r="I983" i="29"/>
  <c r="I984" i="29"/>
  <c r="I985" i="29"/>
  <c r="I986" i="29"/>
  <c r="I987" i="29"/>
  <c r="I988" i="29"/>
  <c r="I989" i="29"/>
  <c r="I990" i="29"/>
  <c r="I991" i="29"/>
  <c r="I992" i="29"/>
  <c r="I993" i="29"/>
  <c r="I994" i="29"/>
  <c r="I995" i="29"/>
  <c r="I996" i="29"/>
  <c r="I997" i="29"/>
  <c r="I998" i="29"/>
  <c r="I999" i="29"/>
  <c r="I1000" i="29"/>
  <c r="I1001" i="29"/>
  <c r="I1002" i="29"/>
  <c r="I1003" i="29"/>
  <c r="I1004" i="29"/>
  <c r="I1005" i="29"/>
  <c r="I1006" i="29"/>
  <c r="I1007" i="29"/>
  <c r="I1008" i="29"/>
  <c r="I1009" i="29"/>
  <c r="I1010" i="29"/>
  <c r="I1011" i="29"/>
  <c r="I1012" i="29"/>
  <c r="I1013" i="29"/>
  <c r="I1014" i="29"/>
  <c r="I1015" i="29"/>
  <c r="I1016" i="29"/>
  <c r="I1017" i="29"/>
  <c r="I1018" i="29"/>
  <c r="I1019" i="29"/>
  <c r="I1020" i="29"/>
  <c r="I1021" i="29"/>
  <c r="I1023" i="29"/>
  <c r="I1024" i="29"/>
  <c r="I1025" i="29"/>
  <c r="I1026" i="29"/>
  <c r="I1027" i="29"/>
  <c r="I1028" i="29"/>
  <c r="I1029" i="29"/>
  <c r="I1030" i="29"/>
  <c r="I1031" i="29"/>
  <c r="I1032" i="29"/>
  <c r="I1033" i="29"/>
  <c r="I1034" i="29"/>
  <c r="I1035" i="29"/>
  <c r="I1036" i="29"/>
  <c r="I1037" i="29"/>
  <c r="I1038" i="29"/>
  <c r="I1039" i="29"/>
  <c r="I1040" i="29"/>
  <c r="I1041" i="29"/>
  <c r="I1042" i="29"/>
  <c r="I1043" i="29"/>
  <c r="I1044" i="29"/>
  <c r="I1045" i="29"/>
  <c r="I1046" i="29"/>
  <c r="I1047" i="29"/>
  <c r="I1048" i="29"/>
  <c r="I1049" i="29"/>
  <c r="I1050" i="29"/>
  <c r="I1052" i="29"/>
  <c r="I1053" i="29"/>
  <c r="I1054" i="29"/>
  <c r="I1055" i="29"/>
  <c r="I1056" i="29"/>
  <c r="I1057" i="29"/>
  <c r="I1058" i="29"/>
  <c r="I1059" i="29"/>
  <c r="I1060" i="29"/>
  <c r="I1061" i="29"/>
  <c r="I1062" i="29"/>
  <c r="I1063" i="29"/>
  <c r="I1064" i="29"/>
  <c r="I1065" i="29"/>
  <c r="I1066" i="29"/>
  <c r="I1067" i="29"/>
  <c r="I1068" i="29"/>
  <c r="I1069" i="29"/>
  <c r="I1070" i="29"/>
  <c r="I1071" i="29"/>
  <c r="I1072" i="29"/>
  <c r="I1073" i="29"/>
  <c r="I1074" i="29"/>
  <c r="I1075" i="29"/>
  <c r="I1076" i="29"/>
  <c r="I1077" i="29"/>
  <c r="I1078" i="29"/>
  <c r="I1079" i="29"/>
  <c r="I1080" i="29"/>
  <c r="I1081" i="29"/>
  <c r="I1082" i="29"/>
  <c r="I1083" i="29"/>
  <c r="I1084" i="29"/>
  <c r="I1085" i="29"/>
  <c r="I1086" i="29"/>
  <c r="I1087" i="29"/>
  <c r="I1089" i="29"/>
  <c r="I1090" i="29"/>
  <c r="I1091" i="29"/>
  <c r="I1092" i="29"/>
  <c r="I1093" i="29"/>
  <c r="I1094" i="29"/>
  <c r="I1095" i="29"/>
  <c r="I1096" i="29"/>
  <c r="I1097" i="29"/>
  <c r="I1098" i="29"/>
  <c r="I1099" i="29"/>
  <c r="I1100" i="29"/>
  <c r="I1101" i="29"/>
  <c r="I1102" i="29"/>
  <c r="I1103" i="29"/>
  <c r="I1104" i="29"/>
  <c r="I1105" i="29"/>
  <c r="I1106" i="29"/>
  <c r="I1107" i="29"/>
  <c r="I1108" i="29"/>
  <c r="I1109" i="29"/>
  <c r="I1110" i="29"/>
  <c r="I1111" i="29"/>
  <c r="I1112" i="29"/>
  <c r="I1113" i="29"/>
  <c r="I1114" i="29"/>
  <c r="I1115" i="29"/>
  <c r="I1116" i="29"/>
  <c r="I1117" i="29"/>
  <c r="I1118" i="29"/>
  <c r="I1119" i="29"/>
  <c r="I1120" i="29"/>
  <c r="I1121" i="29"/>
  <c r="I1122" i="29"/>
  <c r="I1123" i="29"/>
  <c r="I1124" i="29"/>
  <c r="I1125" i="29"/>
  <c r="I1126" i="29"/>
  <c r="I1127" i="29"/>
  <c r="I1128" i="29"/>
  <c r="I1129" i="29"/>
  <c r="I1130" i="29"/>
  <c r="I1131" i="29"/>
  <c r="I1132" i="29"/>
  <c r="I1133" i="29"/>
  <c r="I1134" i="29"/>
  <c r="I1135" i="29"/>
  <c r="I1137" i="29"/>
  <c r="I1138" i="29"/>
  <c r="I1139" i="29"/>
  <c r="I1140" i="29"/>
  <c r="I1141" i="29"/>
  <c r="I1142" i="29"/>
  <c r="I1143" i="29"/>
  <c r="I1144" i="29"/>
  <c r="I1145" i="29"/>
  <c r="I1146" i="29"/>
  <c r="I1147" i="29"/>
  <c r="I1148" i="29"/>
  <c r="I1149" i="29"/>
  <c r="I1150" i="29"/>
  <c r="I1151" i="29"/>
  <c r="I1152" i="29"/>
  <c r="I1153" i="29"/>
  <c r="I1154" i="29"/>
  <c r="I1155" i="29"/>
  <c r="I1156" i="29"/>
  <c r="I1157" i="29"/>
  <c r="I1158" i="29"/>
  <c r="I1159" i="29"/>
  <c r="I1160" i="29"/>
  <c r="I1161" i="29"/>
  <c r="I1162" i="29"/>
  <c r="I1163" i="29"/>
  <c r="I1164" i="29"/>
  <c r="I1165" i="29"/>
  <c r="I1166" i="29"/>
  <c r="I1167" i="29"/>
  <c r="I1168" i="29"/>
  <c r="I1169" i="29"/>
  <c r="I1170" i="29"/>
  <c r="I1171" i="29"/>
  <c r="I1172" i="29"/>
  <c r="I1173" i="29"/>
  <c r="I1174" i="29"/>
  <c r="I1175" i="29"/>
  <c r="I1176" i="29"/>
  <c r="I1177" i="29"/>
  <c r="I1178" i="29"/>
  <c r="I1179" i="29"/>
  <c r="I1180" i="29"/>
  <c r="I1181" i="29"/>
  <c r="I1182" i="29"/>
  <c r="I1183" i="29"/>
  <c r="I1184" i="29"/>
  <c r="I1185" i="29"/>
  <c r="I1186" i="29"/>
  <c r="I1187" i="29"/>
  <c r="I1188" i="29"/>
  <c r="I1189" i="29"/>
  <c r="I1190" i="29"/>
  <c r="I1191" i="29"/>
  <c r="I1192" i="29"/>
  <c r="I1193" i="29"/>
  <c r="I1194" i="29"/>
  <c r="I1195" i="29"/>
  <c r="I1196" i="29"/>
  <c r="I1197" i="29"/>
  <c r="I1198" i="29"/>
  <c r="I1199" i="29"/>
  <c r="I1200" i="29"/>
  <c r="I1201" i="29"/>
  <c r="I1202" i="29"/>
  <c r="I1203" i="29"/>
  <c r="I1204" i="29"/>
  <c r="I1205" i="29"/>
  <c r="I1206" i="29"/>
  <c r="I1207" i="29"/>
  <c r="I1208" i="29"/>
  <c r="I1209" i="29"/>
  <c r="I1210" i="29"/>
  <c r="I1211" i="29"/>
  <c r="I1212" i="29"/>
  <c r="I1213" i="29"/>
  <c r="I1214" i="29"/>
  <c r="I1216" i="29"/>
  <c r="I1217" i="29"/>
  <c r="I1218" i="29"/>
  <c r="I1219" i="29"/>
  <c r="I1220" i="29"/>
  <c r="I1221" i="29"/>
  <c r="I1222" i="29"/>
  <c r="I1223" i="29"/>
  <c r="I1224" i="29"/>
  <c r="I1225" i="29"/>
  <c r="I1226" i="29"/>
  <c r="I1227" i="29"/>
  <c r="I1228" i="29"/>
  <c r="I1229" i="29"/>
  <c r="I1230" i="29"/>
  <c r="I1231" i="29"/>
  <c r="I1232" i="29"/>
  <c r="I1233" i="29"/>
  <c r="I1234" i="29"/>
  <c r="I1235" i="29"/>
  <c r="I1236" i="29"/>
  <c r="I1237" i="29"/>
  <c r="I1238" i="29"/>
  <c r="I1239" i="29"/>
  <c r="I1240" i="29"/>
  <c r="I1241" i="29"/>
  <c r="I1242" i="29"/>
  <c r="I1243" i="29"/>
  <c r="I1244" i="29"/>
  <c r="I1245" i="29"/>
  <c r="I1246" i="29"/>
  <c r="I1247" i="29"/>
  <c r="I1248" i="29"/>
  <c r="I1249" i="29"/>
  <c r="I1250" i="29"/>
  <c r="I1251" i="29"/>
  <c r="I1252" i="29"/>
  <c r="I1253" i="29"/>
  <c r="I1254" i="29"/>
  <c r="I1255" i="29"/>
  <c r="I1256" i="29"/>
  <c r="I1257" i="29"/>
  <c r="I1258" i="29"/>
  <c r="I1259" i="29"/>
  <c r="I1260" i="29"/>
  <c r="I1261" i="29"/>
  <c r="I1262" i="29"/>
  <c r="I1263" i="29"/>
  <c r="I1264" i="29"/>
  <c r="I1266" i="29"/>
  <c r="I1267" i="29"/>
  <c r="I1268" i="29"/>
  <c r="I1269" i="29"/>
  <c r="I1270" i="29"/>
  <c r="I1271" i="29"/>
  <c r="I1272" i="29"/>
  <c r="I1273" i="29"/>
  <c r="I1274" i="29"/>
  <c r="I1275" i="29"/>
  <c r="I1276" i="29"/>
  <c r="I1277" i="29"/>
  <c r="I1278" i="29"/>
  <c r="I1279" i="29"/>
  <c r="I1280" i="29"/>
  <c r="I1281" i="29"/>
  <c r="I1282" i="29"/>
  <c r="I1283" i="29"/>
  <c r="I1284" i="29"/>
  <c r="I1285" i="29"/>
  <c r="I1286" i="29"/>
  <c r="I1287" i="29"/>
  <c r="I1288" i="29"/>
  <c r="I1289" i="29"/>
  <c r="I1290" i="29"/>
  <c r="I1291" i="29"/>
  <c r="I1293" i="29"/>
  <c r="I1294" i="29"/>
  <c r="I1295" i="29"/>
  <c r="I1296" i="29"/>
  <c r="I1297" i="29"/>
  <c r="I1298" i="29"/>
  <c r="I1299" i="29"/>
  <c r="I1300" i="29"/>
  <c r="I1301" i="29"/>
  <c r="I1302" i="29"/>
  <c r="I1303" i="29"/>
  <c r="I1304" i="29"/>
  <c r="I1305" i="29"/>
  <c r="I1306" i="29"/>
  <c r="I1307" i="29"/>
  <c r="I1308" i="29"/>
  <c r="I1309" i="29"/>
  <c r="I1310" i="29"/>
  <c r="I1311" i="29"/>
  <c r="I1312" i="29"/>
  <c r="I1313" i="29"/>
  <c r="I1314" i="29"/>
  <c r="I1315" i="29"/>
  <c r="I1316" i="29"/>
  <c r="I1317" i="29"/>
  <c r="I1318" i="29"/>
  <c r="I1319" i="29"/>
  <c r="I1320" i="29"/>
  <c r="I1321" i="29"/>
  <c r="I1322" i="29"/>
  <c r="I1323" i="29"/>
  <c r="I1324" i="29"/>
  <c r="I1325" i="29"/>
  <c r="I1326" i="29"/>
  <c r="I1327" i="29"/>
  <c r="I1328" i="29"/>
  <c r="I1329" i="29"/>
  <c r="I1330" i="29"/>
  <c r="I1331" i="29"/>
  <c r="I1332" i="29"/>
  <c r="I1333" i="29"/>
  <c r="I1334" i="29"/>
  <c r="I1335" i="29"/>
  <c r="I1336" i="29"/>
  <c r="I1337" i="29"/>
  <c r="I1338" i="29"/>
  <c r="I1339" i="29"/>
  <c r="I1340" i="29"/>
  <c r="I1342" i="29"/>
  <c r="I1343" i="29"/>
  <c r="I1344" i="29"/>
  <c r="I1345" i="29"/>
  <c r="I1346" i="29"/>
  <c r="I1347" i="29"/>
  <c r="I1348" i="29"/>
  <c r="I1349" i="29"/>
  <c r="I1350" i="29"/>
  <c r="I1351" i="29"/>
  <c r="I1352" i="29"/>
  <c r="I1353" i="29"/>
  <c r="I1354" i="29"/>
  <c r="I1355" i="29"/>
  <c r="I1356" i="29"/>
  <c r="I1357" i="29"/>
  <c r="I1358" i="29"/>
  <c r="I1359" i="29"/>
  <c r="I1360" i="29"/>
  <c r="I1361" i="29"/>
  <c r="I1362" i="29"/>
  <c r="I1363" i="29"/>
  <c r="I1364" i="29"/>
  <c r="I1365" i="29"/>
  <c r="I1367" i="29"/>
  <c r="I1368" i="29"/>
  <c r="I1369" i="29"/>
  <c r="I1370" i="29"/>
  <c r="I1371" i="29"/>
  <c r="I1372" i="29"/>
  <c r="I1373" i="29"/>
  <c r="I1374" i="29"/>
  <c r="I1375" i="29"/>
  <c r="I1376" i="29"/>
  <c r="I1377" i="29"/>
  <c r="I1378" i="29"/>
  <c r="I1379" i="29"/>
  <c r="I1380" i="29"/>
  <c r="I1381" i="29"/>
  <c r="I1382" i="29"/>
  <c r="I1383" i="29"/>
  <c r="I1384" i="29"/>
  <c r="I1385" i="29"/>
  <c r="I1386" i="29"/>
  <c r="I1387" i="29"/>
  <c r="I1388" i="29"/>
  <c r="I1389" i="29"/>
  <c r="I1390" i="29"/>
  <c r="I1391" i="29"/>
  <c r="I1392" i="29"/>
  <c r="I1393" i="29"/>
  <c r="I1394" i="29"/>
  <c r="I1395" i="29"/>
  <c r="I1396" i="29"/>
  <c r="I1397" i="29"/>
  <c r="I1398" i="29"/>
  <c r="I1399" i="29"/>
  <c r="I1400" i="29"/>
  <c r="I1401" i="29"/>
  <c r="I1402" i="29"/>
  <c r="I1403" i="29"/>
  <c r="I1404" i="29"/>
  <c r="I1405" i="29"/>
  <c r="I1406" i="29"/>
  <c r="I1407" i="29"/>
  <c r="I1408" i="29"/>
  <c r="I1409" i="29"/>
  <c r="I1410" i="29"/>
  <c r="I1411" i="29"/>
  <c r="I1412" i="29"/>
  <c r="I1414" i="29"/>
  <c r="I1415" i="29"/>
  <c r="I1416" i="29"/>
  <c r="I1417" i="29"/>
  <c r="I1418" i="29"/>
  <c r="I1419" i="29"/>
  <c r="I1420" i="29"/>
  <c r="I1421" i="29"/>
  <c r="I1422" i="29"/>
  <c r="I1423" i="29"/>
  <c r="I1424" i="29"/>
  <c r="I1425" i="29"/>
  <c r="I1426" i="29"/>
  <c r="I1427" i="29"/>
  <c r="I1428" i="29"/>
  <c r="I1429" i="29"/>
  <c r="I1430" i="29"/>
  <c r="I1431" i="29"/>
  <c r="I1432" i="29"/>
  <c r="I1433" i="29"/>
  <c r="I1434" i="29"/>
  <c r="I1435" i="29"/>
  <c r="I1436" i="29"/>
  <c r="I1437" i="29"/>
  <c r="I1438" i="29"/>
  <c r="I1439" i="29"/>
  <c r="I1440" i="29"/>
  <c r="I1441" i="29"/>
  <c r="I1442" i="29"/>
  <c r="I1443" i="29"/>
  <c r="I1444" i="29"/>
  <c r="I1445" i="29"/>
  <c r="I1446" i="29"/>
  <c r="I1447" i="29"/>
  <c r="I1448" i="29"/>
  <c r="I1449" i="29"/>
  <c r="I1450" i="29"/>
  <c r="I1451" i="29"/>
  <c r="I1452" i="29"/>
  <c r="I1453" i="29"/>
  <c r="I1454" i="29"/>
  <c r="I1455" i="29"/>
  <c r="I1456" i="29"/>
  <c r="I1457" i="29"/>
  <c r="I1458" i="29"/>
  <c r="I1459" i="29"/>
  <c r="I1460" i="29"/>
  <c r="I1462" i="29"/>
  <c r="I1463" i="29"/>
  <c r="I1464" i="29"/>
  <c r="I1465" i="29"/>
  <c r="I1466" i="29"/>
  <c r="I1467" i="29"/>
  <c r="I1468" i="29"/>
  <c r="I1469" i="29"/>
  <c r="I1470" i="29"/>
  <c r="I1471" i="29"/>
  <c r="I1472" i="29"/>
  <c r="I1473" i="29"/>
  <c r="I1474" i="29"/>
  <c r="I1475" i="29"/>
  <c r="I1476" i="29"/>
  <c r="I1477" i="29"/>
  <c r="I1478" i="29"/>
  <c r="I1479" i="29"/>
  <c r="I1480" i="29"/>
  <c r="I1481" i="29"/>
  <c r="I1482" i="29"/>
  <c r="I1483" i="29"/>
  <c r="I1484" i="29"/>
  <c r="I1485" i="29"/>
  <c r="I1486" i="29"/>
  <c r="I1487" i="29"/>
  <c r="I1488" i="29"/>
  <c r="I1489" i="29"/>
  <c r="I1490" i="29"/>
  <c r="I1491" i="29"/>
  <c r="I1492" i="29"/>
  <c r="I1493" i="29"/>
  <c r="I1494" i="29"/>
  <c r="I1495" i="29"/>
  <c r="I1496" i="29"/>
  <c r="I1497" i="29"/>
  <c r="I1498" i="29"/>
  <c r="I1499" i="29"/>
  <c r="I1500" i="29"/>
  <c r="I1501" i="29"/>
  <c r="I1502" i="29"/>
  <c r="I1503" i="29"/>
  <c r="I1504" i="29"/>
  <c r="I1505" i="29"/>
  <c r="I1506" i="29"/>
  <c r="I1507" i="29"/>
  <c r="I1508" i="29"/>
  <c r="I1510" i="29"/>
  <c r="I1511" i="29"/>
  <c r="I1512" i="29"/>
  <c r="I1513" i="29"/>
  <c r="I1514" i="29"/>
  <c r="I1515" i="29"/>
  <c r="I1516" i="29"/>
  <c r="I1517" i="29"/>
  <c r="I1518" i="29"/>
  <c r="I1519" i="29"/>
  <c r="I1520" i="29"/>
  <c r="I1521" i="29"/>
  <c r="I1522" i="29"/>
  <c r="I1523" i="29"/>
  <c r="I1524" i="29"/>
  <c r="I1525" i="29"/>
  <c r="I1526" i="29"/>
  <c r="I1527" i="29"/>
  <c r="I1528" i="29"/>
  <c r="I1529" i="29"/>
  <c r="I1530" i="29"/>
  <c r="I1531" i="29"/>
  <c r="I1532" i="29"/>
  <c r="I1533" i="29"/>
  <c r="I1534" i="29"/>
  <c r="I1535" i="29"/>
  <c r="I1536" i="29"/>
  <c r="I1537" i="29"/>
  <c r="I1538" i="29"/>
  <c r="I1539" i="29"/>
  <c r="I1540" i="29"/>
  <c r="I1541" i="29"/>
  <c r="I1542" i="29"/>
  <c r="I1543" i="29"/>
  <c r="I1544" i="29"/>
  <c r="I1545" i="29"/>
  <c r="I1546" i="29"/>
  <c r="I1547" i="29"/>
  <c r="I1548" i="29"/>
  <c r="I1549" i="29"/>
  <c r="I1550" i="29"/>
  <c r="I1551" i="29"/>
  <c r="I1552" i="29"/>
  <c r="I1553" i="29"/>
  <c r="I1554" i="29"/>
  <c r="I1555" i="29"/>
  <c r="I1556" i="29"/>
  <c r="I1558" i="29"/>
  <c r="I1559" i="29"/>
  <c r="I1560" i="29"/>
  <c r="I1561" i="29"/>
  <c r="I1562" i="29"/>
  <c r="I1563" i="29"/>
  <c r="I1564" i="29"/>
  <c r="I1565" i="29"/>
  <c r="I1566" i="29"/>
  <c r="I1567" i="29"/>
  <c r="I1568" i="29"/>
  <c r="I1569" i="29"/>
  <c r="I1570" i="29"/>
  <c r="I1571" i="29"/>
  <c r="I1572" i="29"/>
  <c r="I1573" i="29"/>
  <c r="I1574" i="29"/>
  <c r="I1575" i="29"/>
  <c r="I1576" i="29"/>
  <c r="I1577" i="29"/>
  <c r="I1578" i="29"/>
  <c r="I1579" i="29"/>
  <c r="I1580" i="29"/>
  <c r="I1581" i="29"/>
  <c r="I1582" i="29"/>
  <c r="I1583" i="29"/>
  <c r="I1584" i="29"/>
  <c r="I1585" i="29"/>
  <c r="I1586" i="29"/>
  <c r="I1587" i="29"/>
  <c r="I1588" i="29"/>
  <c r="I1589" i="29"/>
  <c r="I1590" i="29"/>
  <c r="I1591" i="29"/>
  <c r="I1592" i="29"/>
  <c r="I1593" i="29"/>
  <c r="I1594" i="29"/>
  <c r="I1595" i="29"/>
  <c r="I1596" i="29"/>
  <c r="I1597" i="29"/>
  <c r="I1598" i="29"/>
  <c r="I1599" i="29"/>
  <c r="I1600" i="29"/>
  <c r="I1601" i="29"/>
  <c r="I1602" i="29"/>
  <c r="I1603" i="29"/>
  <c r="I1604" i="29"/>
  <c r="I1606" i="29"/>
  <c r="I1607" i="29"/>
  <c r="I1608" i="29"/>
  <c r="I1609" i="29"/>
  <c r="I1610" i="29"/>
  <c r="I1611" i="29"/>
  <c r="I1612" i="29"/>
  <c r="I1613" i="29"/>
  <c r="I1614" i="29"/>
  <c r="I1615" i="29"/>
  <c r="I1616" i="29"/>
  <c r="I1617" i="29"/>
  <c r="I1618" i="29"/>
  <c r="I1619" i="29"/>
  <c r="I1620" i="29"/>
  <c r="I1621" i="29"/>
  <c r="I1622" i="29"/>
  <c r="I1623" i="29"/>
  <c r="I1624" i="29"/>
  <c r="I1625" i="29"/>
  <c r="I1626" i="29"/>
  <c r="I1627" i="29"/>
  <c r="I1628" i="29"/>
  <c r="I1629" i="29"/>
  <c r="I1630" i="29"/>
  <c r="I1631" i="29"/>
  <c r="I1632" i="29"/>
  <c r="I1633" i="29"/>
  <c r="I1634" i="29"/>
  <c r="I1635" i="29"/>
  <c r="I1636" i="29"/>
  <c r="I1637" i="29"/>
  <c r="I1638" i="29"/>
  <c r="I1639" i="29"/>
  <c r="I1640" i="29"/>
  <c r="I1641" i="29"/>
  <c r="I1642" i="29"/>
  <c r="I1643" i="29"/>
  <c r="I1644" i="29"/>
  <c r="I1645" i="29"/>
  <c r="I1646" i="29"/>
  <c r="I1647" i="29"/>
  <c r="I1648" i="29"/>
  <c r="I1649" i="29"/>
  <c r="I1650" i="29"/>
  <c r="I1651" i="29"/>
  <c r="I1652" i="29"/>
  <c r="I1654" i="29"/>
  <c r="I1655" i="29"/>
  <c r="I1656" i="29"/>
  <c r="I1657" i="29"/>
  <c r="I1658" i="29"/>
  <c r="I1659" i="29"/>
  <c r="I1660" i="29"/>
  <c r="I1661" i="29"/>
  <c r="I1662" i="29"/>
  <c r="I1663" i="29"/>
  <c r="I1664" i="29"/>
  <c r="I1665" i="29"/>
  <c r="I1666" i="29"/>
  <c r="I1667" i="29"/>
  <c r="I1668" i="29"/>
  <c r="I1669" i="29"/>
  <c r="I1670" i="29"/>
  <c r="I1671" i="29"/>
  <c r="I1672" i="29"/>
  <c r="I1673" i="29"/>
  <c r="I1674" i="29"/>
  <c r="I1675" i="29"/>
  <c r="I1676" i="29"/>
  <c r="I1677" i="29"/>
  <c r="I1678" i="29"/>
  <c r="I1679" i="29"/>
  <c r="I1680" i="29"/>
  <c r="I1681" i="29"/>
  <c r="I1682" i="29"/>
  <c r="I1683" i="29"/>
  <c r="I1684" i="29"/>
  <c r="I1685" i="29"/>
  <c r="I1686" i="29"/>
  <c r="I1687" i="29"/>
  <c r="I1688" i="29"/>
  <c r="I1689" i="29"/>
  <c r="I1690" i="29"/>
  <c r="I1691" i="29"/>
  <c r="I1692" i="29"/>
  <c r="I1693" i="29"/>
  <c r="I1694" i="29"/>
  <c r="I1695" i="29"/>
  <c r="I1696" i="29"/>
  <c r="I1697" i="29"/>
  <c r="I1698" i="29"/>
  <c r="I1699" i="29"/>
  <c r="I1700" i="29"/>
  <c r="I1702" i="29"/>
  <c r="I1703" i="29"/>
  <c r="I1704" i="29"/>
  <c r="I1705" i="29"/>
  <c r="I1706" i="29"/>
  <c r="I1707" i="29"/>
  <c r="I1708" i="29"/>
  <c r="I1709" i="29"/>
  <c r="I1710" i="29"/>
  <c r="I1711" i="29"/>
  <c r="I1712" i="29"/>
  <c r="I1713" i="29"/>
  <c r="I1714" i="29"/>
  <c r="I1715" i="29"/>
  <c r="I1716" i="29"/>
  <c r="I1717" i="29"/>
  <c r="I1718" i="29"/>
  <c r="I1719" i="29"/>
  <c r="I1720" i="29"/>
  <c r="I1721" i="29"/>
  <c r="I1722" i="29"/>
  <c r="I1723" i="29"/>
  <c r="I1724" i="29"/>
  <c r="I1725" i="29"/>
  <c r="I1726" i="29"/>
  <c r="I1727" i="29"/>
  <c r="I1728" i="29"/>
  <c r="I1729" i="29"/>
  <c r="I1730" i="29"/>
  <c r="I1731" i="29"/>
  <c r="I1732" i="29"/>
  <c r="I1733" i="29"/>
  <c r="I1734" i="29"/>
  <c r="I1735" i="29"/>
  <c r="I1736" i="29"/>
  <c r="I1737" i="29"/>
  <c r="I1738" i="29"/>
  <c r="I1739" i="29"/>
  <c r="I1740" i="29"/>
  <c r="I1741" i="29"/>
  <c r="I1742" i="29"/>
  <c r="I1743" i="29"/>
  <c r="I1744" i="29"/>
  <c r="I1745" i="29"/>
  <c r="I1746" i="29"/>
  <c r="I1747" i="29"/>
  <c r="I1748" i="29"/>
  <c r="I1750" i="29"/>
  <c r="I1751" i="29"/>
  <c r="I1752" i="29"/>
  <c r="I1753" i="29"/>
  <c r="I1754" i="29"/>
  <c r="I1755" i="29"/>
  <c r="I1756" i="29"/>
  <c r="I1757" i="29"/>
  <c r="I1758" i="29"/>
  <c r="I1759" i="29"/>
  <c r="I1760" i="29"/>
  <c r="I1761" i="29"/>
  <c r="I1762" i="29"/>
  <c r="I1763" i="29"/>
  <c r="I1764" i="29"/>
  <c r="I1765" i="29"/>
  <c r="I1766" i="29"/>
  <c r="I1767" i="29"/>
  <c r="I1768" i="29"/>
  <c r="I1769" i="29"/>
  <c r="I1770" i="29"/>
  <c r="I1771" i="29"/>
  <c r="I1772" i="29"/>
  <c r="I1773" i="29"/>
  <c r="I1774" i="29"/>
  <c r="I1775" i="29"/>
  <c r="I1776" i="29"/>
  <c r="I1777" i="29"/>
  <c r="I1778" i="29"/>
  <c r="I1779" i="29"/>
  <c r="I1780" i="29"/>
  <c r="I1781" i="29"/>
  <c r="I1782" i="29"/>
  <c r="I1783" i="29"/>
  <c r="I1784" i="29"/>
  <c r="I1785" i="29"/>
  <c r="I1786" i="29"/>
  <c r="I1787" i="29"/>
  <c r="I1788" i="29"/>
  <c r="I1789" i="29"/>
  <c r="I1790" i="29"/>
  <c r="I1791" i="29"/>
  <c r="I1792" i="29"/>
  <c r="I1793" i="29"/>
  <c r="I1794" i="29"/>
  <c r="I1795" i="29"/>
  <c r="I1796" i="29"/>
  <c r="I1798" i="29"/>
  <c r="I1799" i="29"/>
  <c r="I1800" i="29"/>
  <c r="I1802" i="29"/>
  <c r="I1805" i="29"/>
  <c r="I1807" i="29"/>
  <c r="I1808" i="29"/>
  <c r="I1809" i="29"/>
  <c r="I1810" i="29"/>
  <c r="I1812" i="29"/>
  <c r="I1813" i="29"/>
  <c r="I1815" i="29"/>
  <c r="I1817" i="29"/>
  <c r="I1818" i="29"/>
  <c r="I1819" i="29"/>
  <c r="I1821" i="29"/>
  <c r="I1822" i="29"/>
  <c r="I1824" i="29"/>
  <c r="I1825" i="29"/>
  <c r="I1827" i="29"/>
  <c r="I1828" i="29"/>
  <c r="I1830" i="29"/>
  <c r="I1831" i="29"/>
  <c r="I1832" i="29"/>
  <c r="I1834" i="29"/>
  <c r="I1835" i="29"/>
  <c r="I1837" i="29"/>
  <c r="I1838" i="29"/>
  <c r="I1839" i="29"/>
  <c r="I1841" i="29"/>
  <c r="I1842" i="29"/>
  <c r="I1843" i="29"/>
  <c r="I1845" i="29"/>
  <c r="I1846" i="29"/>
  <c r="I1847" i="29"/>
  <c r="I1848" i="29"/>
  <c r="I1849" i="29"/>
  <c r="I1850" i="29"/>
  <c r="I1852" i="29"/>
  <c r="I1853" i="29"/>
  <c r="I1854" i="29"/>
  <c r="I1855" i="29"/>
  <c r="I1856" i="29"/>
  <c r="I1857" i="29"/>
  <c r="I1858" i="29"/>
  <c r="I1860" i="29"/>
  <c r="I1861" i="29"/>
  <c r="I1863" i="29"/>
  <c r="I1864" i="29"/>
  <c r="I1865" i="29"/>
  <c r="I1867" i="29"/>
  <c r="I1869" i="29"/>
  <c r="I1871" i="29"/>
  <c r="I1873" i="29"/>
  <c r="I1874" i="29"/>
  <c r="I1875" i="29"/>
  <c r="I1876" i="29"/>
  <c r="I1878" i="29"/>
  <c r="I1880" i="29"/>
  <c r="I1882" i="29"/>
  <c r="I1884" i="29"/>
  <c r="I1885" i="29"/>
  <c r="I1886" i="29"/>
  <c r="I1887" i="29"/>
  <c r="I1888" i="29"/>
  <c r="I1890" i="29"/>
  <c r="I1891" i="29"/>
  <c r="I1892" i="29"/>
  <c r="I1893" i="29"/>
  <c r="I1895" i="29"/>
  <c r="I1897" i="29"/>
  <c r="I1898" i="29"/>
  <c r="I1902" i="29"/>
  <c r="I1903" i="29"/>
  <c r="I1905" i="29"/>
  <c r="I1906" i="29"/>
  <c r="I1908" i="29"/>
  <c r="I1909" i="29"/>
  <c r="I1911" i="29"/>
  <c r="I1913" i="29"/>
  <c r="I1914" i="29"/>
  <c r="I1915" i="29"/>
  <c r="I1916" i="29"/>
  <c r="I1917" i="29"/>
  <c r="I1918" i="29"/>
  <c r="I1919" i="29"/>
  <c r="I1921" i="29"/>
  <c r="I1923" i="29"/>
  <c r="I1924" i="29"/>
  <c r="I1926" i="29"/>
  <c r="I1927" i="29"/>
  <c r="I1931" i="29"/>
  <c r="I1932" i="29"/>
  <c r="I1934" i="29"/>
  <c r="I1935" i="29"/>
  <c r="I1937" i="29"/>
  <c r="I1938" i="29"/>
  <c r="I1940" i="29"/>
  <c r="I1941" i="29"/>
  <c r="I1942" i="29"/>
  <c r="I1944" i="29"/>
  <c r="I1945" i="29"/>
  <c r="I1946" i="29"/>
  <c r="I1947" i="29"/>
  <c r="I1949" i="29"/>
  <c r="I1950" i="29"/>
  <c r="I1952" i="29"/>
  <c r="I1953" i="29"/>
  <c r="I1954" i="29"/>
  <c r="I1956" i="29"/>
  <c r="I1958" i="29"/>
  <c r="I1959" i="29"/>
  <c r="I1961" i="29"/>
  <c r="I1962" i="29"/>
  <c r="I1964" i="29"/>
  <c r="I1965" i="29"/>
  <c r="I1967" i="29"/>
  <c r="I1968" i="29"/>
  <c r="I1970" i="29"/>
  <c r="I1971" i="29"/>
  <c r="I1973" i="29"/>
  <c r="I1975" i="29"/>
  <c r="I1977" i="29"/>
  <c r="I1979" i="29"/>
  <c r="I1981" i="29"/>
  <c r="I1983" i="29"/>
  <c r="I1985" i="29"/>
  <c r="I1987" i="29"/>
  <c r="I1989" i="29"/>
  <c r="I1991" i="29"/>
  <c r="I1993" i="29"/>
  <c r="I1995" i="29"/>
  <c r="I1997" i="29"/>
  <c r="I1998" i="29"/>
  <c r="I1999" i="29"/>
  <c r="I2000" i="29"/>
  <c r="I2001" i="29"/>
  <c r="I2003" i="29"/>
  <c r="I2004" i="29"/>
  <c r="I2005" i="29"/>
  <c r="I2006" i="29"/>
  <c r="I2007" i="29"/>
  <c r="I2008" i="29"/>
  <c r="I2009" i="29"/>
  <c r="I2010" i="29"/>
  <c r="E145" i="27"/>
  <c r="C137" i="32"/>
  <c r="C136" i="32"/>
  <c r="C135" i="32"/>
  <c r="C140" i="32" s="1"/>
  <c r="F104" i="12" s="1"/>
  <c r="E137" i="32"/>
  <c r="E136" i="32"/>
  <c r="E135" i="32"/>
  <c r="E144" i="27"/>
  <c r="F241" i="1"/>
  <c r="D105" i="27"/>
  <c r="G17" i="15"/>
  <c r="G16" i="15"/>
  <c r="H87" i="15"/>
  <c r="G77" i="1"/>
  <c r="H77" i="1"/>
  <c r="I77" i="1"/>
  <c r="K77" i="1"/>
  <c r="L77" i="1"/>
  <c r="M77" i="1"/>
  <c r="N77" i="1"/>
  <c r="O77" i="1"/>
  <c r="P77" i="1"/>
  <c r="AZ47" i="12"/>
  <c r="BA47" i="12"/>
  <c r="BB47" i="12"/>
  <c r="AZ23" i="12"/>
  <c r="AZ114" i="12" s="1"/>
  <c r="AZ118" i="12" s="1"/>
  <c r="BA23" i="12"/>
  <c r="BB23" i="12"/>
  <c r="AY47" i="12"/>
  <c r="AY114" i="12"/>
  <c r="AY118" i="12"/>
  <c r="AY23" i="12"/>
  <c r="H102" i="12"/>
  <c r="H103" i="12"/>
  <c r="H51" i="12"/>
  <c r="H52" i="12"/>
  <c r="H55" i="12"/>
  <c r="H58" i="12"/>
  <c r="H61" i="12"/>
  <c r="H64" i="12"/>
  <c r="H66" i="12"/>
  <c r="H71" i="12"/>
  <c r="H72" i="12"/>
  <c r="H74" i="12"/>
  <c r="H79" i="12"/>
  <c r="H82" i="12"/>
  <c r="H87" i="12"/>
  <c r="H88" i="12"/>
  <c r="H93" i="12"/>
  <c r="H97" i="12"/>
  <c r="H26" i="12"/>
  <c r="H27" i="12"/>
  <c r="H28" i="12"/>
  <c r="H33" i="12"/>
  <c r="H34" i="12"/>
  <c r="H35" i="12"/>
  <c r="H37" i="12"/>
  <c r="H41" i="12"/>
  <c r="H42" i="12"/>
  <c r="H44" i="12"/>
  <c r="H19" i="12"/>
  <c r="H21" i="12"/>
  <c r="H18" i="12"/>
  <c r="F69" i="12"/>
  <c r="H69" i="12"/>
  <c r="E80" i="12"/>
  <c r="N204" i="1"/>
  <c r="K204" i="1"/>
  <c r="P192" i="1"/>
  <c r="T192" i="1" s="1"/>
  <c r="O192" i="1"/>
  <c r="N192" i="1"/>
  <c r="D141" i="27"/>
  <c r="D155" i="32"/>
  <c r="I155" i="32" s="1"/>
  <c r="I17" i="32"/>
  <c r="I18" i="32"/>
  <c r="H17" i="32"/>
  <c r="H18" i="32"/>
  <c r="D19" i="32"/>
  <c r="E19" i="32"/>
  <c r="C19" i="32"/>
  <c r="F68" i="12" s="1"/>
  <c r="J102" i="1"/>
  <c r="Q102" i="1" s="1"/>
  <c r="E102" i="1"/>
  <c r="R102" i="1" s="1"/>
  <c r="C108" i="27"/>
  <c r="G108" i="27"/>
  <c r="E1972" i="29"/>
  <c r="E1889" i="29"/>
  <c r="E1413" i="29"/>
  <c r="G46" i="12"/>
  <c r="E1088" i="29"/>
  <c r="C1972" i="29"/>
  <c r="E1920" i="29"/>
  <c r="G67" i="12" s="1"/>
  <c r="C1963" i="29"/>
  <c r="D10" i="37"/>
  <c r="E10" i="37"/>
  <c r="C10" i="37"/>
  <c r="D106" i="32"/>
  <c r="E106" i="32"/>
  <c r="H106" i="32"/>
  <c r="F106" i="32"/>
  <c r="G106" i="32"/>
  <c r="C106" i="32"/>
  <c r="E145" i="32"/>
  <c r="I145" i="32" s="1"/>
  <c r="D145" i="32"/>
  <c r="C145" i="32"/>
  <c r="I144" i="32"/>
  <c r="H144" i="32"/>
  <c r="I143" i="32"/>
  <c r="H143" i="32"/>
  <c r="C24" i="32"/>
  <c r="C11" i="32"/>
  <c r="I11" i="32" s="1"/>
  <c r="D1972" i="29"/>
  <c r="E23" i="37"/>
  <c r="D23" i="37"/>
  <c r="C23" i="37"/>
  <c r="I22" i="37"/>
  <c r="H22" i="37"/>
  <c r="I21" i="37"/>
  <c r="H21" i="37"/>
  <c r="H104" i="32"/>
  <c r="I104" i="32"/>
  <c r="H105" i="32"/>
  <c r="I105" i="32"/>
  <c r="D90" i="32"/>
  <c r="E90" i="32"/>
  <c r="C90" i="32"/>
  <c r="H136" i="32"/>
  <c r="I136" i="32"/>
  <c r="H138" i="32"/>
  <c r="I138" i="32"/>
  <c r="H139" i="32"/>
  <c r="I139" i="32"/>
  <c r="D140" i="32"/>
  <c r="C76" i="32"/>
  <c r="E76" i="32"/>
  <c r="I75" i="32"/>
  <c r="H9" i="37"/>
  <c r="I9" i="37"/>
  <c r="H12" i="37"/>
  <c r="I12" i="37"/>
  <c r="H13" i="37"/>
  <c r="I13" i="37"/>
  <c r="H14" i="37"/>
  <c r="I14" i="37"/>
  <c r="H15" i="37"/>
  <c r="I15" i="37"/>
  <c r="H16" i="37"/>
  <c r="I16" i="37"/>
  <c r="D17" i="37"/>
  <c r="E17" i="37"/>
  <c r="C17" i="37"/>
  <c r="P42" i="1"/>
  <c r="G8" i="37"/>
  <c r="F8" i="37"/>
  <c r="E1929" i="29"/>
  <c r="H1929" i="29" s="1"/>
  <c r="C1929" i="29"/>
  <c r="I1929" i="29" s="1"/>
  <c r="P177" i="1"/>
  <c r="O177" i="1"/>
  <c r="N177" i="1"/>
  <c r="J177" i="1"/>
  <c r="I49" i="22"/>
  <c r="J49" i="22"/>
  <c r="I50" i="22"/>
  <c r="J50" i="22"/>
  <c r="G39" i="20"/>
  <c r="K12" i="22"/>
  <c r="K13" i="22"/>
  <c r="K14" i="22"/>
  <c r="K15" i="22"/>
  <c r="K16" i="22"/>
  <c r="K17" i="22"/>
  <c r="K18" i="22"/>
  <c r="K19" i="22"/>
  <c r="K20" i="22"/>
  <c r="K21" i="22"/>
  <c r="K22" i="22"/>
  <c r="K25" i="22"/>
  <c r="K26" i="22"/>
  <c r="K27" i="22"/>
  <c r="K28" i="22"/>
  <c r="K29" i="22"/>
  <c r="K32" i="22"/>
  <c r="K33" i="22"/>
  <c r="K34" i="22"/>
  <c r="K35" i="22"/>
  <c r="K36" i="22"/>
  <c r="K37" i="22"/>
  <c r="K38" i="22"/>
  <c r="K39" i="22"/>
  <c r="K40" i="22"/>
  <c r="K41" i="22"/>
  <c r="K42" i="22"/>
  <c r="K43" i="22"/>
  <c r="K44" i="22"/>
  <c r="K45" i="22"/>
  <c r="K46" i="22"/>
  <c r="K47" i="22"/>
  <c r="K48" i="22"/>
  <c r="K51" i="22"/>
  <c r="K52" i="22"/>
  <c r="K53" i="22"/>
  <c r="K54" i="22"/>
  <c r="K55" i="22"/>
  <c r="K58" i="22"/>
  <c r="K59" i="22"/>
  <c r="K60" i="22"/>
  <c r="K61" i="22"/>
  <c r="K62" i="22"/>
  <c r="K63" i="22"/>
  <c r="K64" i="22"/>
  <c r="K65" i="22"/>
  <c r="K66" i="22"/>
  <c r="K67" i="22"/>
  <c r="K68" i="22"/>
  <c r="K69" i="22"/>
  <c r="K70" i="22"/>
  <c r="K71" i="22"/>
  <c r="K72" i="22"/>
  <c r="K73" i="22"/>
  <c r="K74" i="22"/>
  <c r="K75" i="22"/>
  <c r="K76" i="22"/>
  <c r="K79" i="22"/>
  <c r="K80" i="22"/>
  <c r="K81" i="22"/>
  <c r="K82" i="22"/>
  <c r="K83" i="22"/>
  <c r="K84" i="22"/>
  <c r="K85" i="22"/>
  <c r="K86" i="22"/>
  <c r="K87" i="22"/>
  <c r="K88" i="22"/>
  <c r="K89" i="22"/>
  <c r="K90" i="22"/>
  <c r="K91" i="22"/>
  <c r="K92" i="22"/>
  <c r="K93" i="22"/>
  <c r="K94" i="22"/>
  <c r="K95" i="22"/>
  <c r="K96" i="22"/>
  <c r="K97" i="22"/>
  <c r="K98" i="22"/>
  <c r="K99" i="22"/>
  <c r="K100" i="22"/>
  <c r="K101" i="22"/>
  <c r="K104" i="22"/>
  <c r="K105" i="22"/>
  <c r="K106" i="22"/>
  <c r="K107" i="22"/>
  <c r="K108" i="22"/>
  <c r="K111" i="22"/>
  <c r="K112" i="22"/>
  <c r="K113" i="22"/>
  <c r="K114" i="22"/>
  <c r="K115" i="22"/>
  <c r="K116" i="22"/>
  <c r="K117" i="22"/>
  <c r="K118" i="22"/>
  <c r="K120" i="22"/>
  <c r="K122" i="22"/>
  <c r="K123" i="22"/>
  <c r="K124" i="22"/>
  <c r="K125" i="22"/>
  <c r="K126"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5" i="22"/>
  <c r="K156" i="22"/>
  <c r="K157" i="22"/>
  <c r="K158" i="22"/>
  <c r="K159"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4" i="22"/>
  <c r="K195" i="22"/>
  <c r="K197" i="22"/>
  <c r="K198" i="22"/>
  <c r="K199" i="22"/>
  <c r="K202" i="22"/>
  <c r="K203" i="22"/>
  <c r="K204" i="22"/>
  <c r="K207" i="22"/>
  <c r="K208" i="22"/>
  <c r="K209" i="22"/>
  <c r="K210" i="22"/>
  <c r="K211" i="22"/>
  <c r="K212" i="22"/>
  <c r="K213" i="22"/>
  <c r="K216" i="22"/>
  <c r="K217" i="22"/>
  <c r="K218" i="22"/>
  <c r="K219" i="22"/>
  <c r="K220" i="22"/>
  <c r="K223" i="22"/>
  <c r="K224" i="22"/>
  <c r="K227" i="22"/>
  <c r="K228" i="22"/>
  <c r="K229" i="22"/>
  <c r="K230" i="22"/>
  <c r="K231" i="22"/>
  <c r="K232" i="22"/>
  <c r="K233" i="22"/>
  <c r="K234" i="22"/>
  <c r="K235" i="22"/>
  <c r="K236" i="22"/>
  <c r="K237" i="22"/>
  <c r="K238" i="22"/>
  <c r="K239" i="22"/>
  <c r="K241" i="22"/>
  <c r="K242" i="22"/>
  <c r="K243" i="22"/>
  <c r="K244" i="22"/>
  <c r="K245" i="22"/>
  <c r="K246" i="22"/>
  <c r="K247" i="22"/>
  <c r="K248" i="22"/>
  <c r="K249" i="22"/>
  <c r="K250" i="22"/>
  <c r="K251" i="22"/>
  <c r="K252" i="22"/>
  <c r="K253" i="22"/>
  <c r="K254" i="22"/>
  <c r="K255" i="22"/>
  <c r="K256" i="22"/>
  <c r="K257" i="22"/>
  <c r="K258" i="22"/>
  <c r="K259" i="22"/>
  <c r="K260" i="22"/>
  <c r="K261" i="22"/>
  <c r="K262" i="22"/>
  <c r="K263" i="22"/>
  <c r="K264" i="22"/>
  <c r="K265" i="22"/>
  <c r="K266" i="22"/>
  <c r="K267" i="22"/>
  <c r="K268" i="22"/>
  <c r="K269" i="22"/>
  <c r="K270" i="22"/>
  <c r="K271" i="22"/>
  <c r="K272" i="22"/>
  <c r="K273" i="22"/>
  <c r="K274" i="22"/>
  <c r="K275" i="22"/>
  <c r="K276" i="22"/>
  <c r="K277" i="22"/>
  <c r="BZ18" i="12"/>
  <c r="BJ18" i="12"/>
  <c r="BJ23" i="12" s="1"/>
  <c r="BJ84" i="12"/>
  <c r="BH84" i="12" s="1"/>
  <c r="BZ39" i="12"/>
  <c r="V39" i="12"/>
  <c r="U39" i="12"/>
  <c r="I246" i="1"/>
  <c r="F246" i="1"/>
  <c r="D67" i="31"/>
  <c r="E67" i="31"/>
  <c r="C67" i="31"/>
  <c r="D9" i="31"/>
  <c r="E9" i="31"/>
  <c r="C9" i="31"/>
  <c r="C8" i="31" s="1"/>
  <c r="C90" i="31"/>
  <c r="C80" i="31"/>
  <c r="C72" i="31"/>
  <c r="E63" i="31"/>
  <c r="C63" i="31"/>
  <c r="H65" i="31"/>
  <c r="H68" i="31"/>
  <c r="H69" i="31"/>
  <c r="H70" i="31"/>
  <c r="H71" i="31"/>
  <c r="H73" i="31"/>
  <c r="H74" i="31"/>
  <c r="H75" i="31"/>
  <c r="H76" i="31"/>
  <c r="H77" i="31"/>
  <c r="H78" i="31"/>
  <c r="H79" i="31"/>
  <c r="H81" i="31"/>
  <c r="H82" i="31"/>
  <c r="H83" i="31"/>
  <c r="H84" i="31"/>
  <c r="H85" i="31"/>
  <c r="H86" i="31"/>
  <c r="H87" i="31"/>
  <c r="H88" i="31"/>
  <c r="H89" i="31"/>
  <c r="H91" i="31"/>
  <c r="H92" i="31"/>
  <c r="H93" i="31"/>
  <c r="H94" i="31"/>
  <c r="H96" i="31"/>
  <c r="H97" i="31"/>
  <c r="H98" i="31"/>
  <c r="F252" i="1"/>
  <c r="C95" i="31"/>
  <c r="H95" i="31" s="1"/>
  <c r="D72" i="31"/>
  <c r="E72" i="31"/>
  <c r="E66" i="31" s="1"/>
  <c r="E106" i="31" s="1"/>
  <c r="M283" i="22"/>
  <c r="M282" i="22"/>
  <c r="M281" i="22"/>
  <c r="M280" i="22"/>
  <c r="M279" i="22"/>
  <c r="G277" i="22"/>
  <c r="G276" i="22"/>
  <c r="G275" i="22"/>
  <c r="G274" i="22"/>
  <c r="G273" i="22"/>
  <c r="G272" i="22"/>
  <c r="G271" i="22"/>
  <c r="G270" i="22"/>
  <c r="G269" i="22"/>
  <c r="G268" i="22"/>
  <c r="G267" i="22"/>
  <c r="G266" i="22"/>
  <c r="G265" i="22"/>
  <c r="G264" i="22"/>
  <c r="G263" i="22"/>
  <c r="G262" i="22"/>
  <c r="G261" i="22"/>
  <c r="G260" i="22"/>
  <c r="G259" i="22"/>
  <c r="G258" i="22"/>
  <c r="G257" i="22"/>
  <c r="G256" i="22"/>
  <c r="G255" i="22"/>
  <c r="G254" i="22"/>
  <c r="G253" i="22"/>
  <c r="G252" i="22"/>
  <c r="G251" i="22"/>
  <c r="G250" i="22"/>
  <c r="G249" i="22"/>
  <c r="G248" i="22"/>
  <c r="G247" i="22"/>
  <c r="G246" i="22"/>
  <c r="M246" i="22"/>
  <c r="G245" i="22"/>
  <c r="M245" i="22" s="1"/>
  <c r="G244" i="22"/>
  <c r="M244" i="22"/>
  <c r="G243" i="22"/>
  <c r="M243" i="22"/>
  <c r="G242" i="22"/>
  <c r="M242" i="22"/>
  <c r="G241" i="22"/>
  <c r="M241" i="22" s="1"/>
  <c r="H240" i="22"/>
  <c r="K240" i="22" s="1"/>
  <c r="G240" i="22"/>
  <c r="M240" i="22" s="1"/>
  <c r="G239" i="22"/>
  <c r="G238" i="22"/>
  <c r="G237" i="22"/>
  <c r="G236" i="22"/>
  <c r="G235" i="22"/>
  <c r="G234" i="22"/>
  <c r="G233" i="22"/>
  <c r="G232" i="22"/>
  <c r="G231" i="22"/>
  <c r="G230" i="22"/>
  <c r="G229" i="22"/>
  <c r="G228" i="22"/>
  <c r="G227" i="22"/>
  <c r="J226" i="22"/>
  <c r="J225" i="22" s="1"/>
  <c r="I226" i="22"/>
  <c r="I225" i="22"/>
  <c r="H226" i="22"/>
  <c r="H225" i="22"/>
  <c r="K225" i="22" s="1"/>
  <c r="G224" i="22"/>
  <c r="G223" i="22"/>
  <c r="J222" i="22"/>
  <c r="I222" i="22"/>
  <c r="H222" i="22"/>
  <c r="K222" i="22" s="1"/>
  <c r="I221" i="22"/>
  <c r="H221" i="22"/>
  <c r="G220" i="22"/>
  <c r="G219" i="22"/>
  <c r="M219" i="22"/>
  <c r="G218" i="22"/>
  <c r="M218" i="22"/>
  <c r="L218" i="22"/>
  <c r="G217" i="22"/>
  <c r="G216" i="22"/>
  <c r="J215" i="22"/>
  <c r="J214" i="22"/>
  <c r="I215" i="22"/>
  <c r="H215" i="22"/>
  <c r="H214" i="22"/>
  <c r="G213" i="22"/>
  <c r="H212" i="22"/>
  <c r="G212" i="22" s="1"/>
  <c r="L212" i="22" s="1"/>
  <c r="M212" i="22"/>
  <c r="M211" i="22"/>
  <c r="G211" i="22"/>
  <c r="L211" i="22" s="1"/>
  <c r="G210" i="22"/>
  <c r="L210" i="22" s="1"/>
  <c r="M210" i="22"/>
  <c r="G209" i="22"/>
  <c r="M209" i="22"/>
  <c r="G208" i="22"/>
  <c r="G207" i="22"/>
  <c r="J206" i="22"/>
  <c r="J205" i="22"/>
  <c r="I206" i="22"/>
  <c r="I205" i="22" s="1"/>
  <c r="H206" i="22"/>
  <c r="M204" i="22"/>
  <c r="G204" i="22"/>
  <c r="G203" i="22"/>
  <c r="M203" i="22"/>
  <c r="G202" i="22"/>
  <c r="M202" i="22" s="1"/>
  <c r="J201" i="22"/>
  <c r="J200" i="22" s="1"/>
  <c r="I201" i="22"/>
  <c r="I200" i="22"/>
  <c r="H201" i="22"/>
  <c r="K201" i="22"/>
  <c r="G199" i="22"/>
  <c r="M199" i="22" s="1"/>
  <c r="L199" i="22"/>
  <c r="G198" i="22"/>
  <c r="G197" i="22"/>
  <c r="M197" i="22" s="1"/>
  <c r="L197" i="22"/>
  <c r="I196" i="22"/>
  <c r="G195" i="22"/>
  <c r="M195" i="22" s="1"/>
  <c r="L195" i="22"/>
  <c r="G194" i="22"/>
  <c r="J193" i="22"/>
  <c r="J192" i="22"/>
  <c r="I193" i="22"/>
  <c r="H193" i="22"/>
  <c r="H192" i="22"/>
  <c r="G191" i="22"/>
  <c r="G190" i="22"/>
  <c r="M190" i="22"/>
  <c r="G189" i="22"/>
  <c r="G188" i="22"/>
  <c r="M188" i="22"/>
  <c r="G187" i="22"/>
  <c r="G186" i="22"/>
  <c r="M186" i="22" s="1"/>
  <c r="G185" i="22"/>
  <c r="M185" i="22" s="1"/>
  <c r="L185" i="22"/>
  <c r="G184" i="22"/>
  <c r="M184" i="22" s="1"/>
  <c r="L183" i="22"/>
  <c r="G183" i="22"/>
  <c r="M183" i="22"/>
  <c r="G182" i="22"/>
  <c r="M182" i="22"/>
  <c r="G181" i="22"/>
  <c r="M181" i="22"/>
  <c r="G180" i="22"/>
  <c r="M179" i="22"/>
  <c r="G179" i="22"/>
  <c r="G178" i="22"/>
  <c r="M178" i="22"/>
  <c r="G177" i="22"/>
  <c r="G176" i="22"/>
  <c r="G175" i="22"/>
  <c r="G173" i="22"/>
  <c r="M173" i="22" s="1"/>
  <c r="G172" i="22"/>
  <c r="M172" i="22"/>
  <c r="G171" i="22"/>
  <c r="M171" i="22" s="1"/>
  <c r="G170" i="22"/>
  <c r="G169" i="22"/>
  <c r="G168" i="22"/>
  <c r="G167" i="22"/>
  <c r="G166" i="22"/>
  <c r="G165" i="22"/>
  <c r="G164" i="22"/>
  <c r="G163" i="22"/>
  <c r="G162" i="22"/>
  <c r="G161" i="22"/>
  <c r="J160" i="22"/>
  <c r="I160" i="22"/>
  <c r="I154" i="22" s="1"/>
  <c r="G159" i="22"/>
  <c r="G158" i="22"/>
  <c r="G157" i="22"/>
  <c r="G156" i="22"/>
  <c r="G155" i="22"/>
  <c r="J154" i="22"/>
  <c r="J153" i="22"/>
  <c r="H154" i="22"/>
  <c r="G152" i="22"/>
  <c r="G151" i="22"/>
  <c r="G150" i="22"/>
  <c r="M150" i="22" s="1"/>
  <c r="G149" i="22"/>
  <c r="M149" i="22"/>
  <c r="G148" i="22"/>
  <c r="L148" i="22" s="1"/>
  <c r="M148" i="22"/>
  <c r="L147" i="22"/>
  <c r="G147" i="22"/>
  <c r="M147" i="22"/>
  <c r="G146" i="22"/>
  <c r="M146" i="22" s="1"/>
  <c r="G145" i="22"/>
  <c r="M145" i="22" s="1"/>
  <c r="L144" i="22"/>
  <c r="G144" i="22"/>
  <c r="M144" i="22"/>
  <c r="G143" i="22"/>
  <c r="M143" i="22" s="1"/>
  <c r="G142" i="22"/>
  <c r="G141" i="22"/>
  <c r="M141" i="22"/>
  <c r="G140" i="22"/>
  <c r="G139" i="22"/>
  <c r="L139" i="22" s="1"/>
  <c r="M139" i="22"/>
  <c r="G138" i="22"/>
  <c r="L138" i="22" s="1"/>
  <c r="M138" i="22"/>
  <c r="G137" i="22"/>
  <c r="M137" i="22" s="1"/>
  <c r="G136" i="22"/>
  <c r="G135" i="22"/>
  <c r="L135" i="22" s="1"/>
  <c r="M135" i="22"/>
  <c r="L134" i="22"/>
  <c r="G134" i="22"/>
  <c r="M134" i="22"/>
  <c r="G133" i="22"/>
  <c r="M133" i="22" s="1"/>
  <c r="G132" i="22"/>
  <c r="M132" i="22"/>
  <c r="G131" i="22"/>
  <c r="G130" i="22"/>
  <c r="L130" i="22" s="1"/>
  <c r="G129" i="22"/>
  <c r="J128" i="22"/>
  <c r="J127" i="22"/>
  <c r="I128" i="22"/>
  <c r="N128" i="22"/>
  <c r="H128" i="22"/>
  <c r="K128" i="22"/>
  <c r="G126" i="22"/>
  <c r="M126" i="22"/>
  <c r="G125" i="22"/>
  <c r="G124" i="22"/>
  <c r="G123" i="22"/>
  <c r="M123" i="22" s="1"/>
  <c r="L123" i="22"/>
  <c r="G122" i="22"/>
  <c r="L122" i="22" s="1"/>
  <c r="H121" i="22"/>
  <c r="G120" i="22"/>
  <c r="H119" i="22"/>
  <c r="G118" i="22"/>
  <c r="M118" i="22" s="1"/>
  <c r="G117" i="22"/>
  <c r="M117" i="22"/>
  <c r="G116" i="22"/>
  <c r="G115" i="22"/>
  <c r="G114" i="22"/>
  <c r="G113" i="22"/>
  <c r="G112" i="22"/>
  <c r="G111" i="22"/>
  <c r="J110" i="22"/>
  <c r="J109" i="22"/>
  <c r="J278" i="22" s="1"/>
  <c r="J288" i="22" s="1"/>
  <c r="I110" i="22"/>
  <c r="I109" i="22"/>
  <c r="G108" i="22"/>
  <c r="M108" i="22" s="1"/>
  <c r="L108" i="22"/>
  <c r="G107" i="22"/>
  <c r="G106" i="22"/>
  <c r="G105" i="22"/>
  <c r="G103" i="22" s="1"/>
  <c r="G104" i="22"/>
  <c r="J103" i="22"/>
  <c r="J102" i="22"/>
  <c r="I103" i="22"/>
  <c r="I102" i="22"/>
  <c r="H103" i="22"/>
  <c r="K103" i="22" s="1"/>
  <c r="G101" i="22"/>
  <c r="M101" i="22" s="1"/>
  <c r="G100" i="22"/>
  <c r="G99" i="22"/>
  <c r="G98" i="22"/>
  <c r="M98" i="22" s="1"/>
  <c r="G97" i="22"/>
  <c r="M97" i="22"/>
  <c r="G96" i="22"/>
  <c r="G95" i="22"/>
  <c r="G94" i="22"/>
  <c r="G93" i="22"/>
  <c r="G92" i="22"/>
  <c r="G91" i="22"/>
  <c r="G90" i="22"/>
  <c r="G89" i="22"/>
  <c r="G88" i="22"/>
  <c r="G87" i="22"/>
  <c r="G86" i="22"/>
  <c r="G85" i="22"/>
  <c r="M85" i="22"/>
  <c r="G84" i="22"/>
  <c r="M84" i="22" s="1"/>
  <c r="G83" i="22"/>
  <c r="G82" i="22"/>
  <c r="G81" i="22"/>
  <c r="G80" i="22"/>
  <c r="G79" i="22"/>
  <c r="J78" i="22"/>
  <c r="I78" i="22"/>
  <c r="K78" i="22"/>
  <c r="H78" i="22"/>
  <c r="J77" i="22"/>
  <c r="I77" i="22"/>
  <c r="H77" i="22"/>
  <c r="K77" i="22" s="1"/>
  <c r="G76" i="22"/>
  <c r="G75" i="22"/>
  <c r="G74" i="22"/>
  <c r="G73" i="22"/>
  <c r="G72" i="22"/>
  <c r="G71" i="22"/>
  <c r="M71" i="22"/>
  <c r="M70" i="22"/>
  <c r="G70" i="22"/>
  <c r="L70" i="22"/>
  <c r="G69" i="22"/>
  <c r="G68" i="22"/>
  <c r="G67" i="22"/>
  <c r="M67" i="22"/>
  <c r="G66" i="22"/>
  <c r="G65" i="22"/>
  <c r="G64" i="22"/>
  <c r="G63" i="22"/>
  <c r="M63" i="22"/>
  <c r="G62" i="22"/>
  <c r="G61" i="22"/>
  <c r="G60" i="22"/>
  <c r="G59" i="22"/>
  <c r="G58" i="22"/>
  <c r="H57" i="22"/>
  <c r="H56" i="22"/>
  <c r="H50" i="22" s="1"/>
  <c r="K50" i="22" s="1"/>
  <c r="G56" i="22"/>
  <c r="G55" i="22"/>
  <c r="L55" i="22" s="1"/>
  <c r="G54" i="22"/>
  <c r="G53" i="22"/>
  <c r="G52" i="22"/>
  <c r="G51" i="22"/>
  <c r="M48" i="22"/>
  <c r="G48" i="22"/>
  <c r="G47" i="22"/>
  <c r="G46" i="22"/>
  <c r="G45" i="22"/>
  <c r="M45" i="22" s="1"/>
  <c r="G44" i="22"/>
  <c r="M44" i="22" s="1"/>
  <c r="G43" i="22"/>
  <c r="G42" i="22"/>
  <c r="G41" i="22"/>
  <c r="G40" i="22"/>
  <c r="G39" i="22"/>
  <c r="G38" i="22"/>
  <c r="G37" i="22"/>
  <c r="G36" i="22"/>
  <c r="M35" i="22"/>
  <c r="G35" i="22"/>
  <c r="L35" i="22" s="1"/>
  <c r="G34" i="22"/>
  <c r="L34" i="22"/>
  <c r="G33" i="22"/>
  <c r="G32" i="22"/>
  <c r="L32" i="22" s="1"/>
  <c r="M32" i="22"/>
  <c r="J31" i="22"/>
  <c r="I31" i="22"/>
  <c r="I30" i="22"/>
  <c r="H31" i="22"/>
  <c r="J30" i="22"/>
  <c r="G29" i="22"/>
  <c r="M29" i="22"/>
  <c r="G28" i="22"/>
  <c r="G27" i="22"/>
  <c r="L27" i="22" s="1"/>
  <c r="M27" i="22"/>
  <c r="G26" i="22"/>
  <c r="G25" i="22"/>
  <c r="G24" i="22" s="1"/>
  <c r="J24" i="22"/>
  <c r="I24" i="22"/>
  <c r="I23" i="22" s="1"/>
  <c r="H24" i="22"/>
  <c r="N23" i="22"/>
  <c r="J23" i="22"/>
  <c r="P22" i="22"/>
  <c r="O22" i="22"/>
  <c r="N22" i="22"/>
  <c r="M22" i="22"/>
  <c r="G22" i="22"/>
  <c r="N20" i="22"/>
  <c r="G20" i="22"/>
  <c r="M20" i="22"/>
  <c r="G19" i="22"/>
  <c r="M19" i="22" s="1"/>
  <c r="G18" i="22"/>
  <c r="G17" i="22"/>
  <c r="G16" i="22"/>
  <c r="G15" i="22"/>
  <c r="G14" i="22"/>
  <c r="G13" i="22"/>
  <c r="M13" i="22"/>
  <c r="G12" i="22"/>
  <c r="M12" i="22" s="1"/>
  <c r="J11" i="22"/>
  <c r="J10" i="22"/>
  <c r="I11" i="22"/>
  <c r="H11" i="22"/>
  <c r="K11" i="22"/>
  <c r="K12" i="15"/>
  <c r="K15" i="15"/>
  <c r="K21" i="15"/>
  <c r="K24" i="15"/>
  <c r="K26" i="15"/>
  <c r="K27" i="15"/>
  <c r="K28" i="15"/>
  <c r="K29" i="15"/>
  <c r="K30" i="15"/>
  <c r="K31" i="15"/>
  <c r="K32" i="15"/>
  <c r="K33" i="15"/>
  <c r="K34" i="15"/>
  <c r="K35" i="15"/>
  <c r="K36" i="15"/>
  <c r="K37" i="15"/>
  <c r="K38" i="15"/>
  <c r="K39" i="15"/>
  <c r="K40" i="15"/>
  <c r="K41" i="15"/>
  <c r="K42" i="15"/>
  <c r="K43" i="15"/>
  <c r="K44" i="15"/>
  <c r="K45" i="15"/>
  <c r="K46" i="15"/>
  <c r="K47" i="15"/>
  <c r="K48"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8" i="15"/>
  <c r="K120" i="15"/>
  <c r="K121" i="15"/>
  <c r="K122" i="15"/>
  <c r="K124" i="15"/>
  <c r="K125" i="15"/>
  <c r="K126" i="15"/>
  <c r="K127" i="15"/>
  <c r="K130" i="15"/>
  <c r="K131" i="15"/>
  <c r="K132" i="15"/>
  <c r="K133" i="15"/>
  <c r="K134" i="15"/>
  <c r="K135" i="15"/>
  <c r="K136" i="15"/>
  <c r="K137" i="15"/>
  <c r="I9" i="32"/>
  <c r="I10" i="32"/>
  <c r="I12" i="32"/>
  <c r="I13" i="32"/>
  <c r="I15" i="32"/>
  <c r="I20" i="32"/>
  <c r="I21" i="32"/>
  <c r="I22" i="32"/>
  <c r="I23" i="32"/>
  <c r="I25" i="32"/>
  <c r="I26" i="32"/>
  <c r="I27" i="32"/>
  <c r="I29" i="32"/>
  <c r="I31" i="32"/>
  <c r="I33" i="32"/>
  <c r="I34" i="32"/>
  <c r="I35" i="32"/>
  <c r="I37" i="32"/>
  <c r="I39" i="32"/>
  <c r="I40" i="32"/>
  <c r="I41" i="32"/>
  <c r="I42" i="32"/>
  <c r="I44" i="32"/>
  <c r="I46" i="32"/>
  <c r="I47" i="32"/>
  <c r="I48" i="32"/>
  <c r="I49" i="32"/>
  <c r="I53" i="32"/>
  <c r="I55" i="32"/>
  <c r="I56" i="32"/>
  <c r="I57" i="32"/>
  <c r="I58" i="32"/>
  <c r="I59" i="32"/>
  <c r="I60" i="32"/>
  <c r="I61" i="32"/>
  <c r="I62" i="32"/>
  <c r="I63" i="32"/>
  <c r="I64" i="32"/>
  <c r="I65" i="32"/>
  <c r="I66" i="32"/>
  <c r="I67" i="32"/>
  <c r="I68" i="32"/>
  <c r="I69" i="32"/>
  <c r="I70" i="32"/>
  <c r="I72" i="32"/>
  <c r="I73" i="32"/>
  <c r="I74" i="32"/>
  <c r="I77" i="32"/>
  <c r="I79" i="32"/>
  <c r="I82" i="32"/>
  <c r="I83" i="32"/>
  <c r="I84" i="32"/>
  <c r="I85" i="32"/>
  <c r="I86" i="32"/>
  <c r="I88" i="32"/>
  <c r="I91" i="32"/>
  <c r="I93" i="32"/>
  <c r="I95" i="32"/>
  <c r="I97" i="32"/>
  <c r="I99" i="32"/>
  <c r="I101" i="32"/>
  <c r="I103" i="32"/>
  <c r="I107" i="32"/>
  <c r="I108" i="32"/>
  <c r="I109" i="32"/>
  <c r="I110" i="32"/>
  <c r="I111" i="32"/>
  <c r="I112" i="32"/>
  <c r="I114" i="32"/>
  <c r="I116" i="32"/>
  <c r="I118" i="32"/>
  <c r="I119" i="32"/>
  <c r="I121" i="32"/>
  <c r="I122" i="32"/>
  <c r="I124" i="32"/>
  <c r="I125" i="32"/>
  <c r="I127" i="32"/>
  <c r="I129" i="32"/>
  <c r="I131" i="32"/>
  <c r="I133" i="32"/>
  <c r="I135" i="32"/>
  <c r="I141" i="32"/>
  <c r="I146" i="32"/>
  <c r="I148" i="32"/>
  <c r="I150" i="32"/>
  <c r="I152" i="32"/>
  <c r="I154" i="32"/>
  <c r="M61" i="15"/>
  <c r="M137" i="15"/>
  <c r="M136" i="15"/>
  <c r="M135" i="15"/>
  <c r="M134" i="15"/>
  <c r="M133" i="15"/>
  <c r="M132" i="15"/>
  <c r="M131" i="15"/>
  <c r="M130" i="15"/>
  <c r="H129" i="15"/>
  <c r="M129" i="15"/>
  <c r="M127" i="15"/>
  <c r="M126" i="15"/>
  <c r="M125" i="15"/>
  <c r="M124" i="15"/>
  <c r="H123" i="15"/>
  <c r="K123" i="15" s="1"/>
  <c r="M122" i="15"/>
  <c r="M121" i="15"/>
  <c r="M120" i="15"/>
  <c r="H119" i="15"/>
  <c r="M119" i="15" s="1"/>
  <c r="G119" i="15"/>
  <c r="K119" i="15"/>
  <c r="M118" i="15"/>
  <c r="M115" i="15"/>
  <c r="M113" i="15"/>
  <c r="M112" i="15"/>
  <c r="M111" i="15"/>
  <c r="M110" i="15"/>
  <c r="M109" i="15"/>
  <c r="M108" i="15"/>
  <c r="M107" i="15"/>
  <c r="M106" i="15"/>
  <c r="M105" i="15"/>
  <c r="M104" i="15"/>
  <c r="M103" i="15"/>
  <c r="M102" i="15"/>
  <c r="M101" i="15"/>
  <c r="M100" i="15"/>
  <c r="M99" i="15"/>
  <c r="M98" i="15"/>
  <c r="M97" i="15"/>
  <c r="M96" i="15"/>
  <c r="M95" i="15"/>
  <c r="M94" i="15"/>
  <c r="M93" i="15"/>
  <c r="J93" i="15"/>
  <c r="J92" i="15"/>
  <c r="M76" i="15"/>
  <c r="M62" i="15"/>
  <c r="M60" i="15"/>
  <c r="M59" i="15"/>
  <c r="M58" i="15"/>
  <c r="M57" i="15"/>
  <c r="M56" i="15"/>
  <c r="M55" i="15"/>
  <c r="M54" i="15"/>
  <c r="M53" i="15"/>
  <c r="J53" i="15"/>
  <c r="M33" i="15"/>
  <c r="M32" i="15"/>
  <c r="M31" i="15"/>
  <c r="M30" i="15"/>
  <c r="J30" i="15"/>
  <c r="M29" i="15"/>
  <c r="M28" i="15"/>
  <c r="J28" i="15"/>
  <c r="J25" i="15"/>
  <c r="H25" i="15"/>
  <c r="K25" i="15" s="1"/>
  <c r="M25" i="15"/>
  <c r="H23" i="15"/>
  <c r="K23" i="15" s="1"/>
  <c r="H20" i="15"/>
  <c r="K20" i="15"/>
  <c r="H19" i="15"/>
  <c r="K19" i="15" s="1"/>
  <c r="H18" i="15"/>
  <c r="J17" i="15"/>
  <c r="M15" i="15"/>
  <c r="H14" i="15"/>
  <c r="M14" i="15" s="1"/>
  <c r="G14" i="15"/>
  <c r="K14" i="15"/>
  <c r="M13" i="15"/>
  <c r="H13" i="15"/>
  <c r="G13" i="15"/>
  <c r="K13" i="15"/>
  <c r="M12" i="15"/>
  <c r="H11" i="15"/>
  <c r="G11" i="15"/>
  <c r="K11" i="15"/>
  <c r="H10" i="15"/>
  <c r="M10" i="15" s="1"/>
  <c r="G10" i="15"/>
  <c r="K10" i="15"/>
  <c r="K15" i="24"/>
  <c r="AD117" i="12"/>
  <c r="AD116" i="12"/>
  <c r="AD115" i="12"/>
  <c r="AD103" i="12"/>
  <c r="AD102" i="12"/>
  <c r="AD98" i="12"/>
  <c r="AD97" i="12"/>
  <c r="AD96" i="12"/>
  <c r="AD95" i="12"/>
  <c r="AD94" i="12"/>
  <c r="AD93" i="12"/>
  <c r="AD92" i="12"/>
  <c r="AD91" i="12"/>
  <c r="AD89" i="12"/>
  <c r="AD88" i="12"/>
  <c r="AD87" i="12"/>
  <c r="AD86" i="12"/>
  <c r="AD85" i="12"/>
  <c r="AD84" i="12"/>
  <c r="AD83" i="12"/>
  <c r="AD82" i="12"/>
  <c r="AD81" i="12"/>
  <c r="AD79" i="12"/>
  <c r="AD77" i="12"/>
  <c r="AD76" i="12"/>
  <c r="AD75" i="12"/>
  <c r="AD74" i="12"/>
  <c r="AD73" i="12"/>
  <c r="AD72" i="12"/>
  <c r="AD71" i="12"/>
  <c r="AD70" i="12"/>
  <c r="AD69" i="12"/>
  <c r="AD68" i="12"/>
  <c r="AD67" i="12"/>
  <c r="AD66" i="12"/>
  <c r="AD65" i="12"/>
  <c r="AD60" i="12"/>
  <c r="AD58" i="12"/>
  <c r="AD57" i="12"/>
  <c r="AD56" i="12"/>
  <c r="AD55" i="12"/>
  <c r="AD54" i="12"/>
  <c r="AD52" i="12"/>
  <c r="AD51" i="12"/>
  <c r="AD50" i="12"/>
  <c r="AD49" i="12"/>
  <c r="AD48" i="12"/>
  <c r="AD45" i="12"/>
  <c r="AD44" i="12"/>
  <c r="AD42" i="12"/>
  <c r="AD41" i="12"/>
  <c r="AD40" i="12"/>
  <c r="AD39" i="12"/>
  <c r="AD38" i="12"/>
  <c r="AD37" i="12"/>
  <c r="AD35" i="12"/>
  <c r="AD34" i="12"/>
  <c r="AD33" i="12"/>
  <c r="AD32" i="12"/>
  <c r="AD31" i="12"/>
  <c r="AD30" i="12"/>
  <c r="AD28" i="12"/>
  <c r="AD27" i="12"/>
  <c r="AD25" i="12"/>
  <c r="AD19" i="12"/>
  <c r="AD21" i="12"/>
  <c r="AE90" i="12"/>
  <c r="AD90" i="12"/>
  <c r="AE80" i="12"/>
  <c r="AD80" i="12"/>
  <c r="AE78" i="12"/>
  <c r="AD78" i="12"/>
  <c r="AE64" i="12"/>
  <c r="AD64" i="12"/>
  <c r="AE63" i="12"/>
  <c r="AE62" i="12"/>
  <c r="AD62" i="12"/>
  <c r="AE61" i="12"/>
  <c r="AD61" i="12" s="1"/>
  <c r="AE53" i="12"/>
  <c r="AD53" i="12"/>
  <c r="AE46" i="12"/>
  <c r="AD46" i="12" s="1"/>
  <c r="AE43" i="12"/>
  <c r="AD43" i="12"/>
  <c r="AE36" i="12"/>
  <c r="AD36" i="12" s="1"/>
  <c r="AE29" i="12"/>
  <c r="AD29" i="12"/>
  <c r="AE26" i="12"/>
  <c r="AE24" i="12"/>
  <c r="AD24" i="12"/>
  <c r="AE22" i="12"/>
  <c r="AD22" i="12"/>
  <c r="E2958" i="24"/>
  <c r="V45" i="12"/>
  <c r="U45" i="12"/>
  <c r="F62" i="1"/>
  <c r="F50" i="1" s="1"/>
  <c r="N62" i="1"/>
  <c r="O62" i="1"/>
  <c r="C4173" i="24"/>
  <c r="C2677" i="24"/>
  <c r="I2677" i="24" s="1"/>
  <c r="C935" i="24"/>
  <c r="I935" i="24" s="1"/>
  <c r="C934" i="24"/>
  <c r="I934" i="24"/>
  <c r="C924" i="24"/>
  <c r="T17" i="1"/>
  <c r="T18" i="1"/>
  <c r="T19" i="1"/>
  <c r="T20" i="1"/>
  <c r="T21" i="1"/>
  <c r="T22" i="1"/>
  <c r="T23" i="1"/>
  <c r="T24" i="1"/>
  <c r="T27" i="1"/>
  <c r="T28" i="1"/>
  <c r="T29" i="1"/>
  <c r="T33" i="1"/>
  <c r="T35" i="1"/>
  <c r="T37" i="1"/>
  <c r="T38" i="1"/>
  <c r="T39" i="1"/>
  <c r="T40" i="1"/>
  <c r="T41" i="1"/>
  <c r="T42" i="1"/>
  <c r="T43" i="1"/>
  <c r="T44" i="1"/>
  <c r="T45" i="1"/>
  <c r="T46" i="1"/>
  <c r="T47" i="1"/>
  <c r="T48" i="1"/>
  <c r="T49" i="1"/>
  <c r="T53" i="1"/>
  <c r="T54" i="1"/>
  <c r="T55" i="1"/>
  <c r="T56" i="1"/>
  <c r="T58" i="1"/>
  <c r="T59" i="1"/>
  <c r="T60" i="1"/>
  <c r="T61" i="1"/>
  <c r="T62" i="1"/>
  <c r="T63" i="1"/>
  <c r="T64" i="1"/>
  <c r="T65" i="1"/>
  <c r="T66" i="1"/>
  <c r="T67" i="1"/>
  <c r="T68" i="1"/>
  <c r="T69" i="1"/>
  <c r="T70" i="1"/>
  <c r="T71" i="1"/>
  <c r="T72" i="1"/>
  <c r="T73" i="1"/>
  <c r="T74" i="1"/>
  <c r="T75" i="1"/>
  <c r="T78" i="1"/>
  <c r="T79" i="1"/>
  <c r="T80" i="1"/>
  <c r="T81" i="1"/>
  <c r="T82" i="1"/>
  <c r="T83" i="1"/>
  <c r="T84" i="1"/>
  <c r="T85" i="1"/>
  <c r="T86" i="1"/>
  <c r="T87" i="1"/>
  <c r="T88" i="1"/>
  <c r="T89" i="1"/>
  <c r="T90" i="1"/>
  <c r="T91" i="1"/>
  <c r="T92" i="1"/>
  <c r="T93" i="1"/>
  <c r="T94" i="1"/>
  <c r="T95" i="1"/>
  <c r="T96" i="1"/>
  <c r="T97" i="1"/>
  <c r="T98" i="1"/>
  <c r="T99" i="1"/>
  <c r="T100" i="1"/>
  <c r="T101" i="1"/>
  <c r="T104" i="1"/>
  <c r="T107" i="1"/>
  <c r="T108" i="1"/>
  <c r="T109" i="1"/>
  <c r="T110" i="1"/>
  <c r="T111" i="1"/>
  <c r="T115" i="1"/>
  <c r="T116" i="1"/>
  <c r="T117" i="1"/>
  <c r="T118" i="1"/>
  <c r="T119" i="1"/>
  <c r="T121" i="1"/>
  <c r="T122" i="1"/>
  <c r="T123" i="1"/>
  <c r="T124" i="1"/>
  <c r="T125" i="1"/>
  <c r="T126" i="1"/>
  <c r="T127" i="1"/>
  <c r="T131" i="1"/>
  <c r="T132" i="1"/>
  <c r="T133" i="1"/>
  <c r="T134" i="1"/>
  <c r="T135" i="1"/>
  <c r="T136" i="1"/>
  <c r="T137" i="1"/>
  <c r="T138" i="1"/>
  <c r="T139" i="1"/>
  <c r="T140" i="1"/>
  <c r="T141" i="1"/>
  <c r="T142" i="1"/>
  <c r="T143" i="1"/>
  <c r="T145" i="1"/>
  <c r="T146" i="1"/>
  <c r="T147" i="1"/>
  <c r="T148" i="1"/>
  <c r="T149" i="1"/>
  <c r="T150" i="1"/>
  <c r="T151" i="1"/>
  <c r="T152" i="1"/>
  <c r="T153" i="1"/>
  <c r="T154" i="1"/>
  <c r="T155" i="1"/>
  <c r="T158" i="1"/>
  <c r="T159" i="1"/>
  <c r="T160" i="1"/>
  <c r="T161" i="1"/>
  <c r="T162" i="1"/>
  <c r="T163" i="1"/>
  <c r="T164" i="1"/>
  <c r="T167" i="1"/>
  <c r="T168" i="1"/>
  <c r="T169" i="1"/>
  <c r="T170" i="1"/>
  <c r="T171" i="1"/>
  <c r="T172" i="1"/>
  <c r="T173" i="1"/>
  <c r="T174" i="1"/>
  <c r="T175" i="1"/>
  <c r="T176" i="1"/>
  <c r="T177" i="1"/>
  <c r="T178" i="1"/>
  <c r="T179" i="1"/>
  <c r="T180" i="1"/>
  <c r="T181" i="1"/>
  <c r="T182" i="1"/>
  <c r="T183" i="1"/>
  <c r="T184" i="1"/>
  <c r="T186" i="1"/>
  <c r="T187" i="1"/>
  <c r="T189" i="1"/>
  <c r="T191" i="1"/>
  <c r="T193" i="1"/>
  <c r="T194" i="1"/>
  <c r="T195" i="1"/>
  <c r="T196" i="1"/>
  <c r="T197" i="1"/>
  <c r="T198" i="1"/>
  <c r="T199" i="1"/>
  <c r="T202" i="1"/>
  <c r="T203" i="1"/>
  <c r="T204" i="1"/>
  <c r="T205" i="1"/>
  <c r="T206" i="1"/>
  <c r="T207" i="1"/>
  <c r="T210" i="1"/>
  <c r="T211" i="1"/>
  <c r="T212" i="1"/>
  <c r="T215" i="1"/>
  <c r="T216" i="1"/>
  <c r="T219" i="1"/>
  <c r="T220" i="1"/>
  <c r="T221" i="1"/>
  <c r="T222" i="1"/>
  <c r="T223" i="1"/>
  <c r="T226" i="1"/>
  <c r="T227" i="1"/>
  <c r="T228" i="1"/>
  <c r="T229" i="1"/>
  <c r="T230" i="1"/>
  <c r="T233" i="1"/>
  <c r="T234" i="1"/>
  <c r="T237" i="1"/>
  <c r="T238" i="1"/>
  <c r="T239" i="1"/>
  <c r="T240" i="1"/>
  <c r="T241" i="1"/>
  <c r="T242" i="1"/>
  <c r="T243" i="1"/>
  <c r="T244" i="1"/>
  <c r="T245" i="1"/>
  <c r="T246" i="1"/>
  <c r="T247" i="1"/>
  <c r="T248" i="1"/>
  <c r="T249" i="1"/>
  <c r="T250" i="1"/>
  <c r="T251" i="1"/>
  <c r="T252" i="1"/>
  <c r="BX116" i="12"/>
  <c r="BX115" i="12"/>
  <c r="BX103" i="12"/>
  <c r="BX102" i="12"/>
  <c r="BX93" i="12"/>
  <c r="BX94" i="12"/>
  <c r="BX95" i="12"/>
  <c r="BX96" i="12"/>
  <c r="BX97" i="12"/>
  <c r="BX98" i="12"/>
  <c r="CF20" i="12"/>
  <c r="BX20" i="12"/>
  <c r="CF21" i="12"/>
  <c r="BX21" i="12"/>
  <c r="CF22" i="12"/>
  <c r="CF18" i="12"/>
  <c r="AU99" i="12"/>
  <c r="AV99" i="12"/>
  <c r="AU47" i="12"/>
  <c r="AV47" i="12"/>
  <c r="AU23" i="12"/>
  <c r="AV23" i="12"/>
  <c r="CB99" i="12"/>
  <c r="CC99" i="12"/>
  <c r="CC114" i="12"/>
  <c r="CC118" i="12" s="1"/>
  <c r="CC125" i="12" s="1"/>
  <c r="CD99" i="12"/>
  <c r="CE99" i="12"/>
  <c r="CA47" i="12"/>
  <c r="CB47" i="12"/>
  <c r="CC47" i="12"/>
  <c r="CD47" i="12"/>
  <c r="CE47" i="12"/>
  <c r="CC23" i="12"/>
  <c r="CA23" i="12"/>
  <c r="CB23" i="12"/>
  <c r="CD23" i="12"/>
  <c r="CC117" i="12"/>
  <c r="AH98" i="12"/>
  <c r="AH97" i="12"/>
  <c r="AH96" i="12"/>
  <c r="AH95" i="12"/>
  <c r="AH94" i="12"/>
  <c r="AH93" i="12"/>
  <c r="AH92" i="12"/>
  <c r="AH91" i="12"/>
  <c r="AH90" i="12"/>
  <c r="AH89" i="12"/>
  <c r="AH88" i="12"/>
  <c r="AH87" i="12"/>
  <c r="AH86" i="12"/>
  <c r="AH85" i="12"/>
  <c r="AH84" i="12"/>
  <c r="AH83" i="12"/>
  <c r="AH82" i="12"/>
  <c r="AH81" i="12"/>
  <c r="AH80" i="12"/>
  <c r="AH79" i="12"/>
  <c r="AH78" i="12"/>
  <c r="AH77" i="12"/>
  <c r="AH76" i="12"/>
  <c r="AH75" i="12"/>
  <c r="AH74" i="12"/>
  <c r="AH73" i="12"/>
  <c r="AH72" i="12"/>
  <c r="AH71" i="12"/>
  <c r="AH70" i="12"/>
  <c r="AH69" i="12"/>
  <c r="AH68" i="12"/>
  <c r="AH67" i="12"/>
  <c r="AH66" i="12"/>
  <c r="AH65" i="12"/>
  <c r="AH64" i="12"/>
  <c r="AH63" i="12"/>
  <c r="AH62" i="12"/>
  <c r="AH61" i="12"/>
  <c r="AH60" i="12"/>
  <c r="AH59" i="12"/>
  <c r="AH58" i="12"/>
  <c r="AH57" i="12"/>
  <c r="AH56" i="12"/>
  <c r="AH55" i="12"/>
  <c r="AH54" i="12"/>
  <c r="AH53" i="12"/>
  <c r="AH52" i="12"/>
  <c r="AH51" i="12"/>
  <c r="AH50" i="12"/>
  <c r="AH49" i="12"/>
  <c r="AH48" i="12"/>
  <c r="AH46" i="12"/>
  <c r="AH45" i="12"/>
  <c r="AH44" i="12"/>
  <c r="AH43" i="12"/>
  <c r="AH42" i="12"/>
  <c r="AH41" i="12"/>
  <c r="AH40" i="12"/>
  <c r="AH39" i="12"/>
  <c r="AH38" i="12"/>
  <c r="AH37" i="12"/>
  <c r="AH36" i="12"/>
  <c r="AH35" i="12"/>
  <c r="AH34" i="12"/>
  <c r="AH33" i="12"/>
  <c r="AH32" i="12"/>
  <c r="AH31" i="12"/>
  <c r="AH30" i="12"/>
  <c r="AH29" i="12"/>
  <c r="AH28" i="12"/>
  <c r="AH27" i="12"/>
  <c r="AH26" i="12"/>
  <c r="AH25" i="12"/>
  <c r="AH24" i="12"/>
  <c r="AH19" i="12"/>
  <c r="AH20" i="12"/>
  <c r="AH21" i="12"/>
  <c r="AH22" i="12"/>
  <c r="AH18" i="12"/>
  <c r="AP117" i="12"/>
  <c r="AP116" i="12"/>
  <c r="AP115" i="12"/>
  <c r="AI115" i="12" s="1"/>
  <c r="AH115" i="12" s="1"/>
  <c r="AP103" i="12"/>
  <c r="AI103" i="12"/>
  <c r="AP102" i="12"/>
  <c r="AP101" i="12"/>
  <c r="AP100" i="12"/>
  <c r="AI100" i="12"/>
  <c r="AP98" i="12"/>
  <c r="AP97" i="12"/>
  <c r="AP96" i="12"/>
  <c r="AP95" i="12"/>
  <c r="AP94" i="12"/>
  <c r="AP93" i="12"/>
  <c r="AP92" i="12"/>
  <c r="AP91" i="12"/>
  <c r="AP90" i="12"/>
  <c r="AP89" i="12"/>
  <c r="AP88" i="12"/>
  <c r="AP87" i="12"/>
  <c r="AP86" i="12"/>
  <c r="AP85" i="12"/>
  <c r="AP84" i="12"/>
  <c r="AP83" i="12"/>
  <c r="AP82" i="12"/>
  <c r="AP81" i="12"/>
  <c r="AP80" i="12"/>
  <c r="AP79" i="12"/>
  <c r="AP78" i="12"/>
  <c r="AP77" i="12"/>
  <c r="AP76" i="12"/>
  <c r="AP75" i="12"/>
  <c r="AP74" i="12"/>
  <c r="AP73" i="12"/>
  <c r="AP72" i="12"/>
  <c r="AP71" i="12"/>
  <c r="AP70" i="12"/>
  <c r="AP69" i="12"/>
  <c r="AP68" i="12"/>
  <c r="AP67" i="12"/>
  <c r="AP66" i="12"/>
  <c r="AP65" i="12"/>
  <c r="AP64" i="12"/>
  <c r="AP63" i="12"/>
  <c r="AP62" i="12"/>
  <c r="AP61" i="12"/>
  <c r="AP60" i="12"/>
  <c r="AP59" i="12"/>
  <c r="AP58" i="12"/>
  <c r="AP57" i="12"/>
  <c r="AP56" i="12"/>
  <c r="AP55" i="12"/>
  <c r="AP54" i="12"/>
  <c r="AP53" i="12"/>
  <c r="AP52" i="12"/>
  <c r="AP51" i="12"/>
  <c r="AP50" i="12"/>
  <c r="AP49" i="12"/>
  <c r="AP48" i="12"/>
  <c r="AP99" i="12"/>
  <c r="AP46" i="12"/>
  <c r="AP45" i="12"/>
  <c r="AP44" i="12"/>
  <c r="AP43" i="12"/>
  <c r="AP42" i="12"/>
  <c r="AP41" i="12"/>
  <c r="AP40" i="12"/>
  <c r="AP39" i="12"/>
  <c r="AP38" i="12"/>
  <c r="AP37" i="12"/>
  <c r="AP36" i="12"/>
  <c r="AP35" i="12"/>
  <c r="AP34" i="12"/>
  <c r="AP33" i="12"/>
  <c r="AP32" i="12"/>
  <c r="AP31" i="12"/>
  <c r="AP30" i="12"/>
  <c r="AP29" i="12"/>
  <c r="AP28" i="12"/>
  <c r="AP27" i="12"/>
  <c r="AP26" i="12"/>
  <c r="AP25" i="12"/>
  <c r="AP24" i="12"/>
  <c r="AP47" i="12"/>
  <c r="AP19" i="12"/>
  <c r="AP20" i="12"/>
  <c r="AP21" i="12"/>
  <c r="AP22" i="12"/>
  <c r="AP18" i="12"/>
  <c r="AP23" i="12" s="1"/>
  <c r="BH117" i="12"/>
  <c r="BH116" i="12"/>
  <c r="BH115" i="12"/>
  <c r="BH103" i="12"/>
  <c r="BH102" i="12"/>
  <c r="BH101" i="12"/>
  <c r="BH100" i="12"/>
  <c r="BH98" i="12"/>
  <c r="BH97" i="12"/>
  <c r="BH96" i="12"/>
  <c r="BH95" i="12"/>
  <c r="BH94" i="12"/>
  <c r="BH93" i="12"/>
  <c r="BH92" i="12"/>
  <c r="BH91" i="12"/>
  <c r="BH90" i="12"/>
  <c r="BH89" i="12"/>
  <c r="BH88" i="12"/>
  <c r="BH87" i="12"/>
  <c r="BH86" i="12"/>
  <c r="BH85" i="12"/>
  <c r="BH83" i="12"/>
  <c r="BH82" i="12"/>
  <c r="BH81" i="12"/>
  <c r="BH80" i="12"/>
  <c r="BH79" i="12"/>
  <c r="BH78" i="12"/>
  <c r="BH77" i="12"/>
  <c r="BH76" i="12"/>
  <c r="BH75" i="12"/>
  <c r="BH74" i="12"/>
  <c r="BH73" i="12"/>
  <c r="BH72" i="12"/>
  <c r="BH71" i="12"/>
  <c r="BH70" i="12"/>
  <c r="BH69" i="12"/>
  <c r="BH68" i="12"/>
  <c r="BH67" i="12"/>
  <c r="BH65" i="12"/>
  <c r="BH64" i="12"/>
  <c r="BH63" i="12"/>
  <c r="BH62" i="12"/>
  <c r="BH61" i="12"/>
  <c r="BH59" i="12"/>
  <c r="BH58" i="12"/>
  <c r="BH56" i="12"/>
  <c r="BH55" i="12"/>
  <c r="BH54" i="12"/>
  <c r="BH53" i="12"/>
  <c r="BH52" i="12"/>
  <c r="BH51" i="12"/>
  <c r="BH50" i="12"/>
  <c r="BH49" i="12"/>
  <c r="BH48" i="12"/>
  <c r="BH44" i="12"/>
  <c r="BH42" i="12"/>
  <c r="BH41" i="12"/>
  <c r="BH40" i="12"/>
  <c r="BH39" i="12"/>
  <c r="BH36" i="12"/>
  <c r="BH35" i="12"/>
  <c r="BH34" i="12"/>
  <c r="BH30" i="12"/>
  <c r="BH29" i="12"/>
  <c r="BH28" i="12"/>
  <c r="BH27" i="12"/>
  <c r="BH26" i="12"/>
  <c r="BH25" i="12"/>
  <c r="BH24" i="12"/>
  <c r="BH20" i="12"/>
  <c r="BH21" i="12"/>
  <c r="BH22" i="12"/>
  <c r="BH18" i="12"/>
  <c r="Q88" i="12"/>
  <c r="Q72" i="12"/>
  <c r="Q56" i="12"/>
  <c r="BY47" i="12"/>
  <c r="BY23" i="12"/>
  <c r="I45" i="1"/>
  <c r="BZ31" i="12"/>
  <c r="BZ29" i="12"/>
  <c r="BZ30" i="12"/>
  <c r="BZ22" i="12"/>
  <c r="BX22" i="12"/>
  <c r="BJ66" i="12"/>
  <c r="BH66" i="12" s="1"/>
  <c r="BH60" i="12"/>
  <c r="BJ57" i="12"/>
  <c r="BH57" i="12" s="1"/>
  <c r="BJ46" i="12"/>
  <c r="BH46" i="12"/>
  <c r="BJ45" i="12"/>
  <c r="BH45" i="12" s="1"/>
  <c r="BJ43" i="12"/>
  <c r="BJ38" i="12"/>
  <c r="BH38" i="12"/>
  <c r="BJ37" i="12"/>
  <c r="BH37" i="12" s="1"/>
  <c r="BJ33" i="12"/>
  <c r="BH33" i="12"/>
  <c r="BJ32" i="12"/>
  <c r="BH32" i="12" s="1"/>
  <c r="BJ31" i="12"/>
  <c r="BH31" i="12"/>
  <c r="T117" i="12"/>
  <c r="Q117" i="12"/>
  <c r="T101" i="12"/>
  <c r="Q101" i="12"/>
  <c r="T100" i="12"/>
  <c r="T98" i="12"/>
  <c r="Q98" i="12"/>
  <c r="T97" i="12"/>
  <c r="Q97" i="12" s="1"/>
  <c r="T96" i="12"/>
  <c r="Q96" i="12"/>
  <c r="CI96" i="12" s="1"/>
  <c r="T95" i="12"/>
  <c r="Q95" i="12"/>
  <c r="T94" i="12"/>
  <c r="Q94" i="12"/>
  <c r="T93" i="12"/>
  <c r="Q93" i="12"/>
  <c r="T92" i="12"/>
  <c r="Q92" i="12"/>
  <c r="T91" i="12"/>
  <c r="Q91" i="12"/>
  <c r="T90" i="12"/>
  <c r="Q90" i="12"/>
  <c r="T89" i="12"/>
  <c r="Q89" i="12"/>
  <c r="T88" i="12"/>
  <c r="T87" i="12"/>
  <c r="Q87" i="12"/>
  <c r="T86" i="12"/>
  <c r="Q86" i="12" s="1"/>
  <c r="T85" i="12"/>
  <c r="Q85" i="12"/>
  <c r="T84" i="12"/>
  <c r="Q84" i="12" s="1"/>
  <c r="T83" i="12"/>
  <c r="Q83" i="12"/>
  <c r="T82" i="12"/>
  <c r="Q82" i="12" s="1"/>
  <c r="T81" i="12"/>
  <c r="Q81" i="12"/>
  <c r="T80" i="12"/>
  <c r="Q80" i="12"/>
  <c r="T79" i="12"/>
  <c r="Q79" i="12"/>
  <c r="T78" i="12"/>
  <c r="Q78" i="12"/>
  <c r="T77" i="12"/>
  <c r="Q77" i="12"/>
  <c r="T76" i="12"/>
  <c r="Q76" i="12"/>
  <c r="T75" i="12"/>
  <c r="Q75" i="12" s="1"/>
  <c r="T74" i="12"/>
  <c r="Q74" i="12"/>
  <c r="T73" i="12"/>
  <c r="T72" i="12"/>
  <c r="T71" i="12"/>
  <c r="Q71" i="12" s="1"/>
  <c r="T70" i="12"/>
  <c r="Q70" i="12"/>
  <c r="T69" i="12"/>
  <c r="Q69" i="12" s="1"/>
  <c r="T68" i="12"/>
  <c r="Q68" i="12" s="1"/>
  <c r="T67" i="12"/>
  <c r="Q67" i="12" s="1"/>
  <c r="T66" i="12"/>
  <c r="Q66" i="12"/>
  <c r="T65" i="12"/>
  <c r="Q65" i="12" s="1"/>
  <c r="T64" i="12"/>
  <c r="Q64" i="12" s="1"/>
  <c r="T63" i="12"/>
  <c r="Q63" i="12"/>
  <c r="T62" i="12"/>
  <c r="Q62" i="12" s="1"/>
  <c r="T61" i="12"/>
  <c r="Q61" i="12"/>
  <c r="T60" i="12"/>
  <c r="Q60" i="12" s="1"/>
  <c r="T59" i="12"/>
  <c r="Q59" i="12"/>
  <c r="T58" i="12"/>
  <c r="Q58" i="12"/>
  <c r="T57" i="12"/>
  <c r="Q57" i="12"/>
  <c r="T56" i="12"/>
  <c r="T55" i="12"/>
  <c r="Q55" i="12"/>
  <c r="T54" i="12"/>
  <c r="Q54" i="12" s="1"/>
  <c r="T53" i="12"/>
  <c r="Q53" i="12"/>
  <c r="T52" i="12"/>
  <c r="Q52" i="12" s="1"/>
  <c r="T51" i="12"/>
  <c r="Q51" i="12"/>
  <c r="T50" i="12"/>
  <c r="Q50" i="12" s="1"/>
  <c r="T49" i="12"/>
  <c r="Q49" i="12"/>
  <c r="T48" i="12"/>
  <c r="Q48" i="12" s="1"/>
  <c r="T46" i="12"/>
  <c r="Q46" i="12"/>
  <c r="T45" i="12"/>
  <c r="Q45" i="12"/>
  <c r="T44" i="12"/>
  <c r="Q44" i="12" s="1"/>
  <c r="T43" i="12"/>
  <c r="Q43" i="12"/>
  <c r="T42" i="12"/>
  <c r="Q42" i="12" s="1"/>
  <c r="T41" i="12"/>
  <c r="Q41" i="12"/>
  <c r="T40" i="12"/>
  <c r="Q40" i="12"/>
  <c r="T38" i="12"/>
  <c r="Q38" i="12"/>
  <c r="T37" i="12"/>
  <c r="Q37" i="12"/>
  <c r="T36" i="12"/>
  <c r="Q36" i="12"/>
  <c r="T35" i="12"/>
  <c r="Q35" i="12"/>
  <c r="T34" i="12"/>
  <c r="Q34" i="12"/>
  <c r="T33" i="12"/>
  <c r="Q33" i="12" s="1"/>
  <c r="T32" i="12"/>
  <c r="Q32" i="12" s="1"/>
  <c r="T31" i="12"/>
  <c r="Q31" i="12"/>
  <c r="T30" i="12"/>
  <c r="Q30" i="12"/>
  <c r="T29" i="12"/>
  <c r="Q29" i="12" s="1"/>
  <c r="T28" i="12"/>
  <c r="Q28" i="12"/>
  <c r="T27" i="12"/>
  <c r="Q27" i="12" s="1"/>
  <c r="T26" i="12"/>
  <c r="Q26" i="12"/>
  <c r="T25" i="12"/>
  <c r="Q25" i="12" s="1"/>
  <c r="T24" i="12"/>
  <c r="Q24" i="12"/>
  <c r="T19" i="12"/>
  <c r="Q19" i="12" s="1"/>
  <c r="T20" i="12"/>
  <c r="Q20" i="12"/>
  <c r="T21" i="12"/>
  <c r="Q21" i="12" s="1"/>
  <c r="T22" i="12"/>
  <c r="Q22" i="12" s="1"/>
  <c r="T18" i="12"/>
  <c r="Q18" i="12"/>
  <c r="U99" i="12"/>
  <c r="V99" i="12"/>
  <c r="U47" i="12"/>
  <c r="U23" i="12"/>
  <c r="V23" i="12"/>
  <c r="Q100" i="12"/>
  <c r="O146" i="1"/>
  <c r="N146" i="1"/>
  <c r="P144" i="1"/>
  <c r="T144" i="1" s="1"/>
  <c r="O144" i="1"/>
  <c r="N144" i="1"/>
  <c r="N37" i="1"/>
  <c r="G30" i="1"/>
  <c r="H30" i="1"/>
  <c r="K30" i="1"/>
  <c r="L30" i="1"/>
  <c r="M30" i="1"/>
  <c r="J48" i="1"/>
  <c r="E48" i="1"/>
  <c r="J42" i="1"/>
  <c r="P36" i="1"/>
  <c r="T36" i="1" s="1"/>
  <c r="O36" i="1"/>
  <c r="N36" i="1"/>
  <c r="P34" i="1"/>
  <c r="O34" i="1"/>
  <c r="N34" i="1"/>
  <c r="O32" i="1"/>
  <c r="P32" i="1"/>
  <c r="N32" i="1"/>
  <c r="P120" i="1"/>
  <c r="T120" i="1" s="1"/>
  <c r="O120" i="1"/>
  <c r="N120" i="1"/>
  <c r="P119" i="1"/>
  <c r="O119" i="1"/>
  <c r="N119" i="1"/>
  <c r="N53" i="1"/>
  <c r="N69" i="1"/>
  <c r="P57" i="1"/>
  <c r="O57" i="1"/>
  <c r="N57" i="1"/>
  <c r="G50" i="1"/>
  <c r="H50" i="1"/>
  <c r="I50" i="1"/>
  <c r="K50" i="1"/>
  <c r="L50" i="1"/>
  <c r="M50" i="1"/>
  <c r="P50" i="1"/>
  <c r="J70" i="1"/>
  <c r="J71" i="1"/>
  <c r="E70" i="1"/>
  <c r="E71" i="1"/>
  <c r="R71" i="1" s="1"/>
  <c r="N252" i="1"/>
  <c r="F221" i="1"/>
  <c r="H234" i="1"/>
  <c r="G156" i="1"/>
  <c r="H156" i="1"/>
  <c r="I156" i="1"/>
  <c r="K156" i="1"/>
  <c r="L156" i="1"/>
  <c r="M156" i="1"/>
  <c r="J161" i="1"/>
  <c r="R161" i="1"/>
  <c r="J175" i="1"/>
  <c r="P165" i="1"/>
  <c r="T165" i="1" s="1"/>
  <c r="O165" i="1"/>
  <c r="N165" i="1"/>
  <c r="N197" i="1"/>
  <c r="F194" i="1"/>
  <c r="P193" i="1"/>
  <c r="O193" i="1"/>
  <c r="N193" i="1"/>
  <c r="V193" i="1" s="1"/>
  <c r="F193" i="1"/>
  <c r="F156" i="1"/>
  <c r="P188" i="1"/>
  <c r="T188" i="1" s="1"/>
  <c r="J191" i="1"/>
  <c r="N229" i="1"/>
  <c r="J186" i="1"/>
  <c r="R186" i="1" s="1"/>
  <c r="P185" i="1"/>
  <c r="O185" i="1"/>
  <c r="N185" i="1"/>
  <c r="F18" i="1"/>
  <c r="P16" i="1"/>
  <c r="O16" i="1"/>
  <c r="N16" i="1"/>
  <c r="F16" i="1"/>
  <c r="F54" i="12"/>
  <c r="H54" i="12"/>
  <c r="C1920" i="29"/>
  <c r="CG58" i="12"/>
  <c r="S99" i="12"/>
  <c r="S47" i="12"/>
  <c r="S23" i="12"/>
  <c r="D123" i="27"/>
  <c r="C102" i="27"/>
  <c r="G102" i="27"/>
  <c r="E101" i="27"/>
  <c r="F101" i="27"/>
  <c r="F47" i="1"/>
  <c r="D135" i="27"/>
  <c r="F89" i="1"/>
  <c r="F104" i="1"/>
  <c r="F76" i="1" s="1"/>
  <c r="F249" i="1"/>
  <c r="F236" i="1"/>
  <c r="D134" i="27"/>
  <c r="BC38" i="12"/>
  <c r="BC33" i="12"/>
  <c r="AA29" i="12"/>
  <c r="AA90" i="12"/>
  <c r="AA85" i="12"/>
  <c r="AA77" i="12"/>
  <c r="AA64" i="12"/>
  <c r="AA58" i="12"/>
  <c r="AA57" i="12"/>
  <c r="AA53" i="12"/>
  <c r="AA48" i="12"/>
  <c r="AA45" i="12"/>
  <c r="AA44" i="12"/>
  <c r="AA38" i="12"/>
  <c r="AA32" i="12"/>
  <c r="AA31" i="12"/>
  <c r="AA30" i="12"/>
  <c r="AA22" i="12"/>
  <c r="AA21" i="12"/>
  <c r="AA23" i="12" s="1"/>
  <c r="AA19" i="12"/>
  <c r="AA18" i="12"/>
  <c r="D71" i="32"/>
  <c r="E71" i="32"/>
  <c r="C71" i="32"/>
  <c r="D45" i="12"/>
  <c r="G45" i="12"/>
  <c r="F75" i="12"/>
  <c r="H75" i="12"/>
  <c r="H119" i="32"/>
  <c r="D126" i="32"/>
  <c r="E126" i="32"/>
  <c r="F95" i="12"/>
  <c r="H95" i="12" s="1"/>
  <c r="C126" i="32"/>
  <c r="H125" i="32"/>
  <c r="D1969" i="29"/>
  <c r="E1969" i="29"/>
  <c r="C1969" i="29"/>
  <c r="H122" i="32"/>
  <c r="D123" i="32"/>
  <c r="E123" i="32"/>
  <c r="F53" i="12"/>
  <c r="C123" i="32"/>
  <c r="I123" i="32"/>
  <c r="H154" i="32"/>
  <c r="E153" i="32"/>
  <c r="D153" i="32"/>
  <c r="C153" i="32"/>
  <c r="H152" i="32"/>
  <c r="E151" i="32"/>
  <c r="D151" i="32"/>
  <c r="C151" i="32"/>
  <c r="H150" i="32"/>
  <c r="E149" i="32"/>
  <c r="D149" i="32"/>
  <c r="C149" i="32"/>
  <c r="H149" i="32" s="1"/>
  <c r="H148" i="32"/>
  <c r="E147" i="32"/>
  <c r="D147" i="32"/>
  <c r="I147" i="32"/>
  <c r="C147" i="32"/>
  <c r="H146" i="32"/>
  <c r="E142" i="32"/>
  <c r="H142" i="32"/>
  <c r="D142" i="32"/>
  <c r="C142" i="32"/>
  <c r="F105" i="12" s="1"/>
  <c r="H105" i="12" s="1"/>
  <c r="I142" i="32"/>
  <c r="H141" i="32"/>
  <c r="H135" i="32"/>
  <c r="E134" i="32"/>
  <c r="D134" i="32"/>
  <c r="H134" i="32" s="1"/>
  <c r="C134" i="32"/>
  <c r="F59" i="12" s="1"/>
  <c r="H133" i="32"/>
  <c r="E132" i="32"/>
  <c r="D132" i="32"/>
  <c r="C132" i="32"/>
  <c r="H131" i="32"/>
  <c r="E130" i="32"/>
  <c r="F94" i="12"/>
  <c r="H94" i="12" s="1"/>
  <c r="D130" i="32"/>
  <c r="C130" i="32"/>
  <c r="H129" i="32"/>
  <c r="E128" i="32"/>
  <c r="D128" i="32"/>
  <c r="C128" i="32"/>
  <c r="H127" i="32"/>
  <c r="H124" i="32"/>
  <c r="H121" i="32"/>
  <c r="E120" i="32"/>
  <c r="F31" i="12"/>
  <c r="D120" i="32"/>
  <c r="C120" i="32"/>
  <c r="H118" i="32"/>
  <c r="D145" i="27"/>
  <c r="H117" i="12"/>
  <c r="E47" i="12"/>
  <c r="D23" i="12"/>
  <c r="E23" i="12"/>
  <c r="G81" i="12"/>
  <c r="E1912" i="29"/>
  <c r="G70" i="12"/>
  <c r="H70" i="12"/>
  <c r="D1912" i="29"/>
  <c r="C1912" i="29"/>
  <c r="F98" i="12"/>
  <c r="H98" i="12"/>
  <c r="E96" i="32"/>
  <c r="D96" i="32"/>
  <c r="C96" i="32"/>
  <c r="E94" i="32"/>
  <c r="D94" i="32"/>
  <c r="C94" i="32"/>
  <c r="F86" i="12" s="1"/>
  <c r="C92" i="32"/>
  <c r="D92" i="32"/>
  <c r="E92" i="32"/>
  <c r="F49" i="12"/>
  <c r="H49" i="12"/>
  <c r="E98" i="32"/>
  <c r="F81" i="12" s="1"/>
  <c r="H81" i="12" s="1"/>
  <c r="D98" i="32"/>
  <c r="C98" i="32"/>
  <c r="E38" i="32"/>
  <c r="D38" i="32"/>
  <c r="C38" i="32"/>
  <c r="H8" i="32"/>
  <c r="D76" i="32"/>
  <c r="AG59" i="12"/>
  <c r="AD59" i="12" s="1"/>
  <c r="AG20" i="12"/>
  <c r="AD20" i="12" s="1"/>
  <c r="AG18" i="12"/>
  <c r="AD18" i="12"/>
  <c r="AN99" i="12"/>
  <c r="AN114" i="12" s="1"/>
  <c r="AN118" i="12" s="1"/>
  <c r="AO99" i="12"/>
  <c r="AN47" i="12"/>
  <c r="AO47" i="12"/>
  <c r="AO114" i="12"/>
  <c r="AO23" i="12"/>
  <c r="AI99" i="12"/>
  <c r="AI47" i="12"/>
  <c r="AI23" i="12"/>
  <c r="AI116" i="12"/>
  <c r="AH116" i="12" s="1"/>
  <c r="D129" i="27"/>
  <c r="I46" i="1"/>
  <c r="I30" i="1" s="1"/>
  <c r="F46" i="1"/>
  <c r="F30" i="1"/>
  <c r="AN23" i="12"/>
  <c r="AM99" i="12"/>
  <c r="AM114" i="12"/>
  <c r="AM118" i="12" s="1"/>
  <c r="AM47" i="12"/>
  <c r="AM23" i="12"/>
  <c r="AL99" i="12"/>
  <c r="AL114" i="12" s="1"/>
  <c r="AL118" i="12" s="1"/>
  <c r="AL23" i="12"/>
  <c r="AL47" i="12"/>
  <c r="AJ23" i="12"/>
  <c r="AJ47" i="12"/>
  <c r="AJ99" i="12"/>
  <c r="AJ114" i="12"/>
  <c r="AJ118" i="12" s="1"/>
  <c r="F96" i="12"/>
  <c r="H96" i="12"/>
  <c r="D43" i="32"/>
  <c r="E43" i="32"/>
  <c r="F85" i="12" s="1"/>
  <c r="C43" i="32"/>
  <c r="E80" i="32"/>
  <c r="C80" i="32"/>
  <c r="I80" i="32" s="1"/>
  <c r="H9" i="32"/>
  <c r="H10" i="32"/>
  <c r="H12" i="32"/>
  <c r="H13" i="32"/>
  <c r="H15" i="32"/>
  <c r="H20" i="32"/>
  <c r="H21" i="32"/>
  <c r="H22" i="32"/>
  <c r="H23" i="32"/>
  <c r="H25" i="32"/>
  <c r="H26" i="32"/>
  <c r="H27" i="32"/>
  <c r="H29" i="32"/>
  <c r="H31" i="32"/>
  <c r="H34" i="32"/>
  <c r="H35" i="32"/>
  <c r="H37" i="32"/>
  <c r="H39" i="32"/>
  <c r="H40" i="32"/>
  <c r="H41" i="32"/>
  <c r="H42" i="32"/>
  <c r="H44" i="32"/>
  <c r="H46" i="32"/>
  <c r="H47" i="32"/>
  <c r="H48" i="32"/>
  <c r="H49" i="32"/>
  <c r="H53" i="32"/>
  <c r="H55" i="32"/>
  <c r="H56" i="32"/>
  <c r="H57" i="32"/>
  <c r="H58" i="32"/>
  <c r="H59" i="32"/>
  <c r="H60" i="32"/>
  <c r="H61" i="32"/>
  <c r="H62" i="32"/>
  <c r="H63" i="32"/>
  <c r="H64" i="32"/>
  <c r="H65" i="32"/>
  <c r="H66" i="32"/>
  <c r="H67" i="32"/>
  <c r="H68" i="32"/>
  <c r="H69" i="32"/>
  <c r="H70" i="32"/>
  <c r="H72" i="32"/>
  <c r="H73" i="32"/>
  <c r="H77" i="32"/>
  <c r="H79" i="32"/>
  <c r="H82" i="32"/>
  <c r="H83" i="32"/>
  <c r="H84" i="32"/>
  <c r="H85" i="32"/>
  <c r="H86" i="32"/>
  <c r="H88" i="32"/>
  <c r="H91" i="32"/>
  <c r="H93" i="32"/>
  <c r="H95" i="32"/>
  <c r="H97" i="32"/>
  <c r="H99" i="32"/>
  <c r="H101" i="32"/>
  <c r="H103" i="32"/>
  <c r="H107" i="32"/>
  <c r="H108" i="32"/>
  <c r="H109" i="32"/>
  <c r="H110" i="32"/>
  <c r="H111" i="32"/>
  <c r="H112" i="32"/>
  <c r="H114" i="32"/>
  <c r="H116" i="32"/>
  <c r="H157" i="32"/>
  <c r="H158" i="32"/>
  <c r="H160" i="32"/>
  <c r="H161" i="32"/>
  <c r="C50" i="32"/>
  <c r="D50" i="32"/>
  <c r="E50" i="32"/>
  <c r="H50" i="32" s="1"/>
  <c r="F36" i="12"/>
  <c r="H36" i="12"/>
  <c r="D113" i="32"/>
  <c r="E113" i="32"/>
  <c r="F62" i="12"/>
  <c r="C113" i="32"/>
  <c r="E117" i="32"/>
  <c r="F22" i="12"/>
  <c r="H22" i="12"/>
  <c r="D117" i="32"/>
  <c r="C117" i="32"/>
  <c r="E115" i="32"/>
  <c r="F89" i="12"/>
  <c r="H89" i="12"/>
  <c r="D115" i="32"/>
  <c r="C115" i="32"/>
  <c r="C16" i="32"/>
  <c r="E51" i="32"/>
  <c r="C51" i="32"/>
  <c r="F17" i="20"/>
  <c r="F223" i="1"/>
  <c r="BM23" i="12"/>
  <c r="BN23" i="12"/>
  <c r="BM47" i="12"/>
  <c r="BM114" i="12" s="1"/>
  <c r="BM118" i="12" s="1"/>
  <c r="BN47" i="12"/>
  <c r="BM99" i="12"/>
  <c r="BN99" i="12"/>
  <c r="G23" i="12"/>
  <c r="F18" i="20"/>
  <c r="F28" i="20"/>
  <c r="E238" i="1"/>
  <c r="E54" i="32"/>
  <c r="D54" i="32"/>
  <c r="C54" i="32"/>
  <c r="D52" i="32"/>
  <c r="C52" i="32"/>
  <c r="H9" i="24"/>
  <c r="H10" i="24"/>
  <c r="H11" i="24"/>
  <c r="H12" i="24"/>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H65" i="24"/>
  <c r="H66" i="24"/>
  <c r="H67" i="24"/>
  <c r="H68" i="24"/>
  <c r="H69" i="24"/>
  <c r="H70" i="24"/>
  <c r="H71" i="24"/>
  <c r="H72" i="24"/>
  <c r="H73" i="24"/>
  <c r="H74" i="24"/>
  <c r="H75" i="24"/>
  <c r="H76" i="24"/>
  <c r="H77" i="24"/>
  <c r="H78" i="24"/>
  <c r="H79" i="24"/>
  <c r="H80" i="24"/>
  <c r="H81" i="24"/>
  <c r="H82" i="24"/>
  <c r="H83" i="24"/>
  <c r="H84" i="24"/>
  <c r="H85" i="24"/>
  <c r="H86" i="24"/>
  <c r="H87" i="24"/>
  <c r="H88" i="24"/>
  <c r="H89" i="24"/>
  <c r="H90" i="24"/>
  <c r="H91" i="24"/>
  <c r="H92" i="24"/>
  <c r="H93" i="24"/>
  <c r="H94" i="24"/>
  <c r="H95" i="24"/>
  <c r="H96" i="24"/>
  <c r="H97" i="24"/>
  <c r="H98" i="24"/>
  <c r="H99" i="24"/>
  <c r="H100" i="24"/>
  <c r="H101" i="24"/>
  <c r="H102" i="24"/>
  <c r="H103" i="24"/>
  <c r="H104" i="24"/>
  <c r="H105" i="24"/>
  <c r="H106" i="24"/>
  <c r="H107" i="24"/>
  <c r="H108" i="24"/>
  <c r="H109" i="24"/>
  <c r="H110" i="24"/>
  <c r="H111" i="24"/>
  <c r="H112" i="24"/>
  <c r="H113" i="24"/>
  <c r="H114" i="24"/>
  <c r="H115" i="24"/>
  <c r="H116" i="24"/>
  <c r="H117" i="24"/>
  <c r="H118" i="24"/>
  <c r="H119" i="24"/>
  <c r="H120" i="24"/>
  <c r="H121" i="24"/>
  <c r="H122" i="24"/>
  <c r="H123" i="24"/>
  <c r="H124" i="24"/>
  <c r="H125" i="24"/>
  <c r="H126" i="24"/>
  <c r="H127" i="24"/>
  <c r="H128" i="24"/>
  <c r="H129" i="24"/>
  <c r="H130" i="24"/>
  <c r="H131" i="24"/>
  <c r="H132" i="24"/>
  <c r="H133" i="24"/>
  <c r="H134" i="24"/>
  <c r="H135" i="24"/>
  <c r="H136" i="24"/>
  <c r="H137" i="24"/>
  <c r="H138" i="24"/>
  <c r="H139" i="24"/>
  <c r="H140" i="24"/>
  <c r="H141" i="24"/>
  <c r="H142" i="24"/>
  <c r="H143" i="24"/>
  <c r="H144" i="24"/>
  <c r="H145" i="24"/>
  <c r="H146" i="24"/>
  <c r="H147" i="24"/>
  <c r="H148" i="24"/>
  <c r="H149" i="24"/>
  <c r="H150" i="24"/>
  <c r="H151" i="24"/>
  <c r="H152" i="24"/>
  <c r="H153" i="24"/>
  <c r="H154" i="24"/>
  <c r="H155" i="24"/>
  <c r="H156" i="24"/>
  <c r="H157" i="24"/>
  <c r="H158" i="24"/>
  <c r="H159" i="24"/>
  <c r="H160" i="24"/>
  <c r="H161" i="24"/>
  <c r="H162" i="24"/>
  <c r="H163" i="24"/>
  <c r="H164" i="24"/>
  <c r="H165" i="24"/>
  <c r="H166" i="24"/>
  <c r="H167" i="24"/>
  <c r="H168" i="24"/>
  <c r="H169" i="24"/>
  <c r="H170" i="24"/>
  <c r="H171" i="24"/>
  <c r="H172" i="24"/>
  <c r="H173" i="24"/>
  <c r="H174" i="24"/>
  <c r="H175" i="24"/>
  <c r="H176" i="24"/>
  <c r="H177" i="24"/>
  <c r="H178" i="24"/>
  <c r="H179" i="24"/>
  <c r="H180" i="24"/>
  <c r="H181" i="24"/>
  <c r="H182" i="24"/>
  <c r="H183" i="24"/>
  <c r="H184" i="24"/>
  <c r="H185" i="24"/>
  <c r="H186" i="24"/>
  <c r="H187" i="24"/>
  <c r="H188" i="24"/>
  <c r="H189" i="24"/>
  <c r="H190" i="24"/>
  <c r="H192" i="24"/>
  <c r="H193" i="24"/>
  <c r="H194" i="24"/>
  <c r="H195" i="24"/>
  <c r="H196" i="24"/>
  <c r="H197" i="24"/>
  <c r="H198" i="24"/>
  <c r="H199" i="24"/>
  <c r="H200" i="24"/>
  <c r="H201" i="24"/>
  <c r="H202" i="24"/>
  <c r="H203" i="24"/>
  <c r="H204" i="24"/>
  <c r="H205" i="24"/>
  <c r="H206" i="24"/>
  <c r="H207" i="24"/>
  <c r="H208" i="24"/>
  <c r="H209" i="24"/>
  <c r="H210" i="24"/>
  <c r="H211" i="24"/>
  <c r="H212" i="24"/>
  <c r="H213" i="24"/>
  <c r="H214" i="24"/>
  <c r="H215" i="24"/>
  <c r="H216" i="24"/>
  <c r="H217" i="24"/>
  <c r="H218" i="24"/>
  <c r="H219" i="24"/>
  <c r="H220" i="24"/>
  <c r="H221" i="24"/>
  <c r="H222" i="24"/>
  <c r="H223" i="24"/>
  <c r="H224" i="24"/>
  <c r="H225" i="24"/>
  <c r="H226" i="24"/>
  <c r="H227" i="24"/>
  <c r="H228" i="24"/>
  <c r="H229" i="24"/>
  <c r="H230" i="24"/>
  <c r="H231" i="24"/>
  <c r="H232" i="24"/>
  <c r="H233" i="24"/>
  <c r="H234" i="24"/>
  <c r="H235" i="24"/>
  <c r="H236" i="24"/>
  <c r="H237" i="24"/>
  <c r="H238" i="24"/>
  <c r="H239" i="24"/>
  <c r="H240" i="24"/>
  <c r="H241" i="24"/>
  <c r="H242" i="24"/>
  <c r="H243" i="24"/>
  <c r="H244" i="24"/>
  <c r="H245" i="24"/>
  <c r="H246" i="24"/>
  <c r="H247" i="24"/>
  <c r="H248" i="24"/>
  <c r="H249" i="24"/>
  <c r="H250" i="24"/>
  <c r="H251" i="24"/>
  <c r="H252" i="24"/>
  <c r="H253" i="24"/>
  <c r="H254" i="24"/>
  <c r="H255" i="24"/>
  <c r="H256" i="24"/>
  <c r="H257" i="24"/>
  <c r="H258" i="24"/>
  <c r="H259" i="24"/>
  <c r="H260" i="24"/>
  <c r="H261" i="24"/>
  <c r="H262" i="24"/>
  <c r="H263" i="24"/>
  <c r="H264" i="24"/>
  <c r="H265" i="24"/>
  <c r="H266" i="24"/>
  <c r="H267" i="24"/>
  <c r="H268" i="24"/>
  <c r="H269" i="24"/>
  <c r="H270" i="24"/>
  <c r="H271" i="24"/>
  <c r="H272" i="24"/>
  <c r="H273" i="24"/>
  <c r="H274" i="24"/>
  <c r="H275" i="24"/>
  <c r="H276" i="24"/>
  <c r="H277" i="24"/>
  <c r="H278" i="24"/>
  <c r="H279" i="24"/>
  <c r="H280" i="24"/>
  <c r="H281" i="24"/>
  <c r="H282" i="24"/>
  <c r="H283" i="24"/>
  <c r="H284" i="24"/>
  <c r="H285" i="24"/>
  <c r="H286" i="24"/>
  <c r="H287" i="24"/>
  <c r="H288" i="24"/>
  <c r="H289" i="24"/>
  <c r="H290" i="24"/>
  <c r="H291" i="24"/>
  <c r="H292" i="24"/>
  <c r="H293" i="24"/>
  <c r="H294" i="24"/>
  <c r="H295" i="24"/>
  <c r="H296" i="24"/>
  <c r="H297" i="24"/>
  <c r="H298" i="24"/>
  <c r="H299" i="24"/>
  <c r="H300" i="24"/>
  <c r="H301" i="24"/>
  <c r="H302" i="24"/>
  <c r="H303" i="24"/>
  <c r="H304" i="24"/>
  <c r="H305" i="24"/>
  <c r="H306" i="24"/>
  <c r="H307" i="24"/>
  <c r="H308" i="24"/>
  <c r="H309" i="24"/>
  <c r="H310" i="24"/>
  <c r="H311" i="24"/>
  <c r="H312" i="24"/>
  <c r="H313" i="24"/>
  <c r="H314" i="24"/>
  <c r="H315" i="24"/>
  <c r="H316" i="24"/>
  <c r="H317" i="24"/>
  <c r="H319" i="24"/>
  <c r="H320" i="24"/>
  <c r="H321" i="24"/>
  <c r="H322" i="24"/>
  <c r="H323" i="24"/>
  <c r="H324" i="24"/>
  <c r="H325" i="24"/>
  <c r="H326" i="24"/>
  <c r="H327" i="24"/>
  <c r="H328" i="24"/>
  <c r="H329" i="24"/>
  <c r="H330" i="24"/>
  <c r="H331" i="24"/>
  <c r="H332" i="24"/>
  <c r="H333" i="24"/>
  <c r="H334" i="24"/>
  <c r="H335" i="24"/>
  <c r="H336" i="24"/>
  <c r="H337" i="24"/>
  <c r="H338" i="24"/>
  <c r="H339" i="24"/>
  <c r="H340" i="24"/>
  <c r="H341" i="24"/>
  <c r="H342" i="24"/>
  <c r="H343" i="24"/>
  <c r="H344" i="24"/>
  <c r="H345" i="24"/>
  <c r="H346" i="24"/>
  <c r="H347" i="24"/>
  <c r="H348" i="24"/>
  <c r="H349" i="24"/>
  <c r="H350" i="24"/>
  <c r="H351" i="24"/>
  <c r="H352" i="24"/>
  <c r="H353" i="24"/>
  <c r="H354" i="24"/>
  <c r="H355" i="24"/>
  <c r="H356" i="24"/>
  <c r="H357" i="24"/>
  <c r="H358" i="24"/>
  <c r="H359" i="24"/>
  <c r="H360" i="24"/>
  <c r="H361" i="24"/>
  <c r="H362" i="24"/>
  <c r="H363" i="24"/>
  <c r="H364" i="24"/>
  <c r="H365" i="24"/>
  <c r="H366" i="24"/>
  <c r="H367" i="24"/>
  <c r="H368" i="24"/>
  <c r="H369" i="24"/>
  <c r="H370" i="24"/>
  <c r="H371" i="24"/>
  <c r="H372" i="24"/>
  <c r="H373" i="24"/>
  <c r="H374" i="24"/>
  <c r="H375" i="24"/>
  <c r="H376" i="24"/>
  <c r="H377" i="24"/>
  <c r="H378" i="24"/>
  <c r="H379" i="24"/>
  <c r="H380" i="24"/>
  <c r="H381" i="24"/>
  <c r="H382" i="24"/>
  <c r="H383" i="24"/>
  <c r="H384" i="24"/>
  <c r="H385" i="24"/>
  <c r="H386" i="24"/>
  <c r="H387" i="24"/>
  <c r="H388" i="24"/>
  <c r="H389" i="24"/>
  <c r="H390" i="24"/>
  <c r="H391" i="24"/>
  <c r="H392" i="24"/>
  <c r="H393" i="24"/>
  <c r="H394" i="24"/>
  <c r="H395" i="24"/>
  <c r="H396" i="24"/>
  <c r="H397" i="24"/>
  <c r="H398" i="24"/>
  <c r="H399" i="24"/>
  <c r="H400" i="24"/>
  <c r="H401" i="24"/>
  <c r="H402" i="24"/>
  <c r="H403" i="24"/>
  <c r="H404" i="24"/>
  <c r="H405" i="24"/>
  <c r="H406" i="24"/>
  <c r="H407" i="24"/>
  <c r="H408" i="24"/>
  <c r="H409" i="24"/>
  <c r="H410" i="24"/>
  <c r="H411" i="24"/>
  <c r="H412" i="24"/>
  <c r="H413" i="24"/>
  <c r="H414" i="24"/>
  <c r="H415" i="24"/>
  <c r="H416" i="24"/>
  <c r="H417" i="24"/>
  <c r="H418" i="24"/>
  <c r="H419" i="24"/>
  <c r="H420" i="24"/>
  <c r="H421" i="24"/>
  <c r="H422" i="24"/>
  <c r="H423" i="24"/>
  <c r="H424" i="24"/>
  <c r="H425" i="24"/>
  <c r="H426" i="24"/>
  <c r="H427" i="24"/>
  <c r="H428" i="24"/>
  <c r="H429" i="24"/>
  <c r="H430" i="24"/>
  <c r="H431" i="24"/>
  <c r="H432" i="24"/>
  <c r="H433" i="24"/>
  <c r="H435" i="24"/>
  <c r="H436" i="24"/>
  <c r="H437" i="24"/>
  <c r="H438" i="24"/>
  <c r="H439" i="24"/>
  <c r="H440" i="24"/>
  <c r="H441" i="24"/>
  <c r="H442" i="24"/>
  <c r="H443" i="24"/>
  <c r="H444" i="24"/>
  <c r="H445" i="24"/>
  <c r="H446" i="24"/>
  <c r="H447" i="24"/>
  <c r="H448" i="24"/>
  <c r="H449" i="24"/>
  <c r="H450" i="24"/>
  <c r="H451" i="24"/>
  <c r="H452" i="24"/>
  <c r="H453" i="24"/>
  <c r="H454" i="24"/>
  <c r="H455" i="24"/>
  <c r="H456" i="24"/>
  <c r="H457" i="24"/>
  <c r="H458" i="24"/>
  <c r="H459" i="24"/>
  <c r="H460" i="24"/>
  <c r="H461" i="24"/>
  <c r="H462" i="24"/>
  <c r="H463" i="24"/>
  <c r="H464" i="24"/>
  <c r="H465" i="24"/>
  <c r="H466" i="24"/>
  <c r="H467" i="24"/>
  <c r="H468" i="24"/>
  <c r="H469" i="24"/>
  <c r="H470" i="24"/>
  <c r="H471" i="24"/>
  <c r="H472" i="24"/>
  <c r="H473" i="24"/>
  <c r="H475" i="24"/>
  <c r="H476" i="24"/>
  <c r="H477" i="24"/>
  <c r="H478" i="24"/>
  <c r="H479" i="24"/>
  <c r="H480" i="24"/>
  <c r="H481" i="24"/>
  <c r="H482" i="24"/>
  <c r="H483" i="24"/>
  <c r="H484" i="24"/>
  <c r="H485" i="24"/>
  <c r="H486" i="24"/>
  <c r="H487" i="24"/>
  <c r="H488" i="24"/>
  <c r="H489" i="24"/>
  <c r="H490" i="24"/>
  <c r="H491" i="24"/>
  <c r="H492" i="24"/>
  <c r="H493" i="24"/>
  <c r="H494" i="24"/>
  <c r="H495" i="24"/>
  <c r="H496" i="24"/>
  <c r="H497" i="24"/>
  <c r="H498" i="24"/>
  <c r="H499" i="24"/>
  <c r="H500" i="24"/>
  <c r="H501" i="24"/>
  <c r="H502" i="24"/>
  <c r="H503" i="24"/>
  <c r="H504" i="24"/>
  <c r="H505" i="24"/>
  <c r="H506" i="24"/>
  <c r="H507" i="24"/>
  <c r="H508" i="24"/>
  <c r="H509" i="24"/>
  <c r="H510" i="24"/>
  <c r="H511" i="24"/>
  <c r="H512" i="24"/>
  <c r="H513" i="24"/>
  <c r="H514" i="24"/>
  <c r="H515" i="24"/>
  <c r="H516" i="24"/>
  <c r="H517" i="24"/>
  <c r="H518" i="24"/>
  <c r="H519" i="24"/>
  <c r="H520" i="24"/>
  <c r="H521" i="24"/>
  <c r="H522" i="24"/>
  <c r="H523" i="24"/>
  <c r="H524" i="24"/>
  <c r="H525" i="24"/>
  <c r="H526" i="24"/>
  <c r="H527" i="24"/>
  <c r="H528" i="24"/>
  <c r="H529" i="24"/>
  <c r="H530" i="24"/>
  <c r="H531" i="24"/>
  <c r="H532" i="24"/>
  <c r="H533" i="24"/>
  <c r="H534" i="24"/>
  <c r="H535" i="24"/>
  <c r="H536" i="24"/>
  <c r="H537" i="24"/>
  <c r="H538" i="24"/>
  <c r="H539" i="24"/>
  <c r="H540" i="24"/>
  <c r="H541" i="24"/>
  <c r="H542" i="24"/>
  <c r="H543" i="24"/>
  <c r="H544" i="24"/>
  <c r="H545" i="24"/>
  <c r="H546" i="24"/>
  <c r="H547" i="24"/>
  <c r="H548" i="24"/>
  <c r="H549" i="24"/>
  <c r="H550" i="24"/>
  <c r="H551" i="24"/>
  <c r="H552" i="24"/>
  <c r="H553" i="24"/>
  <c r="H554" i="24"/>
  <c r="H555" i="24"/>
  <c r="H556" i="24"/>
  <c r="H557" i="24"/>
  <c r="H558" i="24"/>
  <c r="H559" i="24"/>
  <c r="H560" i="24"/>
  <c r="H561" i="24"/>
  <c r="H563" i="24"/>
  <c r="H564" i="24"/>
  <c r="H565" i="24"/>
  <c r="H566" i="24"/>
  <c r="H567" i="24"/>
  <c r="H568" i="24"/>
  <c r="H569" i="24"/>
  <c r="H570" i="24"/>
  <c r="H571" i="24"/>
  <c r="H572" i="24"/>
  <c r="H573" i="24"/>
  <c r="H574" i="24"/>
  <c r="H575" i="24"/>
  <c r="H576" i="24"/>
  <c r="H577" i="24"/>
  <c r="H578" i="24"/>
  <c r="H579" i="24"/>
  <c r="H580" i="24"/>
  <c r="H581" i="24"/>
  <c r="H582" i="24"/>
  <c r="H583" i="24"/>
  <c r="H584" i="24"/>
  <c r="H585" i="24"/>
  <c r="H586" i="24"/>
  <c r="H587" i="24"/>
  <c r="H588" i="24"/>
  <c r="H589" i="24"/>
  <c r="H590" i="24"/>
  <c r="H591" i="24"/>
  <c r="H592" i="24"/>
  <c r="H593" i="24"/>
  <c r="H594" i="24"/>
  <c r="H595" i="24"/>
  <c r="H596" i="24"/>
  <c r="H597" i="24"/>
  <c r="H598" i="24"/>
  <c r="H599" i="24"/>
  <c r="H600" i="24"/>
  <c r="H601" i="24"/>
  <c r="H602" i="24"/>
  <c r="H603" i="24"/>
  <c r="H604" i="24"/>
  <c r="H605" i="24"/>
  <c r="H606" i="24"/>
  <c r="H607" i="24"/>
  <c r="H608" i="24"/>
  <c r="H609" i="24"/>
  <c r="H610" i="24"/>
  <c r="H611" i="24"/>
  <c r="H612" i="24"/>
  <c r="H613" i="24"/>
  <c r="H614" i="24"/>
  <c r="H616" i="24"/>
  <c r="H617" i="24"/>
  <c r="H618" i="24"/>
  <c r="H619" i="24"/>
  <c r="H620" i="24"/>
  <c r="H621" i="24"/>
  <c r="H622" i="24"/>
  <c r="H623" i="24"/>
  <c r="H624" i="24"/>
  <c r="H625" i="24"/>
  <c r="H626" i="24"/>
  <c r="H627" i="24"/>
  <c r="H628" i="24"/>
  <c r="H629" i="24"/>
  <c r="H630" i="24"/>
  <c r="H631" i="24"/>
  <c r="H632" i="24"/>
  <c r="H633" i="24"/>
  <c r="H634" i="24"/>
  <c r="H635" i="24"/>
  <c r="H636" i="24"/>
  <c r="H637" i="24"/>
  <c r="H638" i="24"/>
  <c r="H639" i="24"/>
  <c r="H640" i="24"/>
  <c r="H641" i="24"/>
  <c r="H642" i="24"/>
  <c r="H643" i="24"/>
  <c r="H644" i="24"/>
  <c r="H645" i="24"/>
  <c r="H646" i="24"/>
  <c r="H647" i="24"/>
  <c r="H648" i="24"/>
  <c r="H649" i="24"/>
  <c r="H650" i="24"/>
  <c r="H651" i="24"/>
  <c r="H652" i="24"/>
  <c r="H653" i="24"/>
  <c r="H654" i="24"/>
  <c r="H655" i="24"/>
  <c r="H656" i="24"/>
  <c r="H657" i="24"/>
  <c r="H658" i="24"/>
  <c r="H659" i="24"/>
  <c r="H660" i="24"/>
  <c r="H661" i="24"/>
  <c r="H662" i="24"/>
  <c r="H663" i="24"/>
  <c r="H664" i="24"/>
  <c r="H665" i="24"/>
  <c r="H666" i="24"/>
  <c r="H667" i="24"/>
  <c r="H668" i="24"/>
  <c r="H669" i="24"/>
  <c r="H670" i="24"/>
  <c r="H671" i="24"/>
  <c r="H672" i="24"/>
  <c r="H673" i="24"/>
  <c r="H674" i="24"/>
  <c r="H676" i="24"/>
  <c r="H677" i="24"/>
  <c r="H678" i="24"/>
  <c r="H679" i="24"/>
  <c r="H680" i="24"/>
  <c r="H681" i="24"/>
  <c r="H682" i="24"/>
  <c r="H683" i="24"/>
  <c r="H684" i="24"/>
  <c r="H685" i="24"/>
  <c r="H686" i="24"/>
  <c r="H687" i="24"/>
  <c r="H688" i="24"/>
  <c r="H689" i="24"/>
  <c r="H690" i="24"/>
  <c r="H691" i="24"/>
  <c r="H692" i="24"/>
  <c r="H693" i="24"/>
  <c r="H694" i="24"/>
  <c r="H695" i="24"/>
  <c r="H696" i="24"/>
  <c r="H697" i="24"/>
  <c r="H698" i="24"/>
  <c r="H699" i="24"/>
  <c r="H700" i="24"/>
  <c r="H701" i="24"/>
  <c r="H702" i="24"/>
  <c r="H703" i="24"/>
  <c r="H704" i="24"/>
  <c r="H705" i="24"/>
  <c r="H706" i="24"/>
  <c r="H707" i="24"/>
  <c r="H708" i="24"/>
  <c r="H709" i="24"/>
  <c r="H710" i="24"/>
  <c r="H711" i="24"/>
  <c r="H712" i="24"/>
  <c r="H713" i="24"/>
  <c r="H714" i="24"/>
  <c r="H715" i="24"/>
  <c r="H716" i="24"/>
  <c r="H717" i="24"/>
  <c r="H718" i="24"/>
  <c r="H719" i="24"/>
  <c r="H720" i="24"/>
  <c r="H721" i="24"/>
  <c r="H722" i="24"/>
  <c r="H723" i="24"/>
  <c r="H725" i="24"/>
  <c r="H726" i="24"/>
  <c r="H727" i="24"/>
  <c r="H728" i="24"/>
  <c r="H729" i="24"/>
  <c r="H730" i="24"/>
  <c r="H731" i="24"/>
  <c r="H732" i="24"/>
  <c r="H733" i="24"/>
  <c r="H734" i="24"/>
  <c r="H735" i="24"/>
  <c r="H736" i="24"/>
  <c r="H737" i="24"/>
  <c r="H738" i="24"/>
  <c r="H739" i="24"/>
  <c r="H740" i="24"/>
  <c r="H741" i="24"/>
  <c r="H742" i="24"/>
  <c r="H743" i="24"/>
  <c r="H744" i="24"/>
  <c r="H745" i="24"/>
  <c r="H746" i="24"/>
  <c r="H747" i="24"/>
  <c r="H748" i="24"/>
  <c r="H749" i="24"/>
  <c r="H750" i="24"/>
  <c r="H751" i="24"/>
  <c r="H752" i="24"/>
  <c r="H753" i="24"/>
  <c r="H754" i="24"/>
  <c r="H755" i="24"/>
  <c r="H756" i="24"/>
  <c r="H757" i="24"/>
  <c r="H758" i="24"/>
  <c r="H759" i="24"/>
  <c r="H760" i="24"/>
  <c r="H761" i="24"/>
  <c r="H762" i="24"/>
  <c r="H763" i="24"/>
  <c r="H764" i="24"/>
  <c r="H766" i="24"/>
  <c r="H767" i="24"/>
  <c r="H768" i="24"/>
  <c r="H769" i="24"/>
  <c r="H770" i="24"/>
  <c r="H771" i="24"/>
  <c r="H772" i="24"/>
  <c r="H773" i="24"/>
  <c r="H774" i="24"/>
  <c r="H775" i="24"/>
  <c r="H776" i="24"/>
  <c r="H777" i="24"/>
  <c r="H778" i="24"/>
  <c r="H779" i="24"/>
  <c r="H780" i="24"/>
  <c r="H781" i="24"/>
  <c r="H782" i="24"/>
  <c r="H783" i="24"/>
  <c r="H784" i="24"/>
  <c r="H785" i="24"/>
  <c r="H786" i="24"/>
  <c r="H787" i="24"/>
  <c r="H788" i="24"/>
  <c r="H789" i="24"/>
  <c r="H790" i="24"/>
  <c r="H791" i="24"/>
  <c r="H792" i="24"/>
  <c r="H793" i="24"/>
  <c r="H794" i="24"/>
  <c r="H795" i="24"/>
  <c r="H796" i="24"/>
  <c r="H797" i="24"/>
  <c r="H798" i="24"/>
  <c r="H799" i="24"/>
  <c r="H800" i="24"/>
  <c r="H801" i="24"/>
  <c r="H802" i="24"/>
  <c r="H803" i="24"/>
  <c r="H804" i="24"/>
  <c r="H805" i="24"/>
  <c r="H806" i="24"/>
  <c r="H807" i="24"/>
  <c r="H808" i="24"/>
  <c r="H809" i="24"/>
  <c r="H810" i="24"/>
  <c r="H811" i="24"/>
  <c r="H812" i="24"/>
  <c r="H813" i="24"/>
  <c r="H814" i="24"/>
  <c r="H815" i="24"/>
  <c r="H816" i="24"/>
  <c r="H817" i="24"/>
  <c r="H818" i="24"/>
  <c r="H820" i="24"/>
  <c r="H821" i="24"/>
  <c r="H822" i="24"/>
  <c r="H823" i="24"/>
  <c r="H824" i="24"/>
  <c r="H825" i="24"/>
  <c r="H826" i="24"/>
  <c r="H827" i="24"/>
  <c r="H828" i="24"/>
  <c r="H829" i="24"/>
  <c r="H830" i="24"/>
  <c r="H831" i="24"/>
  <c r="H832" i="24"/>
  <c r="H833" i="24"/>
  <c r="H834" i="24"/>
  <c r="H835" i="24"/>
  <c r="H836" i="24"/>
  <c r="H837" i="24"/>
  <c r="H838" i="24"/>
  <c r="H839" i="24"/>
  <c r="H840" i="24"/>
  <c r="H841" i="24"/>
  <c r="H842" i="24"/>
  <c r="H843" i="24"/>
  <c r="H844" i="24"/>
  <c r="H845" i="24"/>
  <c r="H846" i="24"/>
  <c r="H847" i="24"/>
  <c r="H848" i="24"/>
  <c r="H849" i="24"/>
  <c r="H850" i="24"/>
  <c r="H851" i="24"/>
  <c r="H852" i="24"/>
  <c r="H853" i="24"/>
  <c r="H854" i="24"/>
  <c r="H855" i="24"/>
  <c r="H856" i="24"/>
  <c r="H857" i="24"/>
  <c r="H858" i="24"/>
  <c r="H859" i="24"/>
  <c r="H860" i="24"/>
  <c r="H861" i="24"/>
  <c r="H862" i="24"/>
  <c r="H863" i="24"/>
  <c r="H864" i="24"/>
  <c r="H865" i="24"/>
  <c r="H866" i="24"/>
  <c r="H867" i="24"/>
  <c r="H868" i="24"/>
  <c r="H869" i="24"/>
  <c r="H870" i="24"/>
  <c r="H871" i="24"/>
  <c r="H872" i="24"/>
  <c r="H873" i="24"/>
  <c r="H874" i="24"/>
  <c r="H875" i="24"/>
  <c r="H876" i="24"/>
  <c r="H877" i="24"/>
  <c r="H878" i="24"/>
  <c r="H879" i="24"/>
  <c r="H881" i="24"/>
  <c r="H882" i="24"/>
  <c r="H883" i="24"/>
  <c r="H884" i="24"/>
  <c r="H885" i="24"/>
  <c r="H886" i="24"/>
  <c r="H887" i="24"/>
  <c r="H888" i="24"/>
  <c r="H889" i="24"/>
  <c r="H890" i="24"/>
  <c r="H891" i="24"/>
  <c r="H892" i="24"/>
  <c r="H893" i="24"/>
  <c r="H894" i="24"/>
  <c r="H895" i="24"/>
  <c r="H896" i="24"/>
  <c r="H897" i="24"/>
  <c r="H898" i="24"/>
  <c r="H899" i="24"/>
  <c r="H900" i="24"/>
  <c r="H901" i="24"/>
  <c r="H902" i="24"/>
  <c r="H903" i="24"/>
  <c r="H904" i="24"/>
  <c r="H905" i="24"/>
  <c r="H906" i="24"/>
  <c r="H907" i="24"/>
  <c r="H908" i="24"/>
  <c r="H909" i="24"/>
  <c r="H910" i="24"/>
  <c r="H911" i="24"/>
  <c r="H912" i="24"/>
  <c r="H913" i="24"/>
  <c r="H914" i="24"/>
  <c r="H915" i="24"/>
  <c r="H916" i="24"/>
  <c r="H917" i="24"/>
  <c r="H918" i="24"/>
  <c r="H920" i="24"/>
  <c r="H921" i="24"/>
  <c r="H922" i="24"/>
  <c r="H923" i="24"/>
  <c r="H925" i="24"/>
  <c r="H926" i="24"/>
  <c r="H927" i="24"/>
  <c r="H928" i="24"/>
  <c r="H929" i="24"/>
  <c r="H930" i="24"/>
  <c r="H931" i="24"/>
  <c r="H932" i="24"/>
  <c r="H933" i="24"/>
  <c r="H936" i="24"/>
  <c r="H937" i="24"/>
  <c r="H938" i="24"/>
  <c r="H939" i="24"/>
  <c r="H940" i="24"/>
  <c r="H941" i="24"/>
  <c r="H942" i="24"/>
  <c r="H943" i="24"/>
  <c r="H944" i="24"/>
  <c r="H945" i="24"/>
  <c r="H946" i="24"/>
  <c r="H947" i="24"/>
  <c r="H948" i="24"/>
  <c r="H949" i="24"/>
  <c r="H950" i="24"/>
  <c r="H951" i="24"/>
  <c r="H952" i="24"/>
  <c r="H953" i="24"/>
  <c r="H954" i="24"/>
  <c r="H955" i="24"/>
  <c r="H956" i="24"/>
  <c r="H957" i="24"/>
  <c r="H958" i="24"/>
  <c r="H959" i="24"/>
  <c r="H960" i="24"/>
  <c r="H961" i="24"/>
  <c r="H962" i="24"/>
  <c r="H963" i="24"/>
  <c r="H964" i="24"/>
  <c r="H965" i="24"/>
  <c r="H966" i="24"/>
  <c r="H967" i="24"/>
  <c r="H968" i="24"/>
  <c r="H969" i="24"/>
  <c r="H970" i="24"/>
  <c r="H971" i="24"/>
  <c r="H972" i="24"/>
  <c r="H973" i="24"/>
  <c r="H974" i="24"/>
  <c r="H975" i="24"/>
  <c r="H976" i="24"/>
  <c r="H977" i="24"/>
  <c r="H978" i="24"/>
  <c r="H979" i="24"/>
  <c r="H980" i="24"/>
  <c r="H981" i="24"/>
  <c r="H982" i="24"/>
  <c r="H983" i="24"/>
  <c r="H984" i="24"/>
  <c r="H985" i="24"/>
  <c r="H986" i="24"/>
  <c r="H987" i="24"/>
  <c r="H988" i="24"/>
  <c r="H989" i="24"/>
  <c r="H990" i="24"/>
  <c r="H991" i="24"/>
  <c r="H992" i="24"/>
  <c r="H993" i="24"/>
  <c r="H994" i="24"/>
  <c r="H995" i="24"/>
  <c r="H996" i="24"/>
  <c r="H997" i="24"/>
  <c r="H998" i="24"/>
  <c r="H1000" i="24"/>
  <c r="H1001" i="24"/>
  <c r="H1002" i="24"/>
  <c r="H1003" i="24"/>
  <c r="H1004" i="24"/>
  <c r="H1005" i="24"/>
  <c r="H1006" i="24"/>
  <c r="H1007" i="24"/>
  <c r="H1008" i="24"/>
  <c r="H1009" i="24"/>
  <c r="H1010" i="24"/>
  <c r="H1011" i="24"/>
  <c r="H1012" i="24"/>
  <c r="H1013" i="24"/>
  <c r="H1014" i="24"/>
  <c r="H1015" i="24"/>
  <c r="H1016" i="24"/>
  <c r="H1017" i="24"/>
  <c r="H1018" i="24"/>
  <c r="H1019" i="24"/>
  <c r="H1020" i="24"/>
  <c r="H1021" i="24"/>
  <c r="H1022" i="24"/>
  <c r="H1023" i="24"/>
  <c r="H1024" i="24"/>
  <c r="H1025" i="24"/>
  <c r="H1026" i="24"/>
  <c r="H1027" i="24"/>
  <c r="H1028" i="24"/>
  <c r="H1029" i="24"/>
  <c r="H1030" i="24"/>
  <c r="H1031" i="24"/>
  <c r="H1032" i="24"/>
  <c r="H1033" i="24"/>
  <c r="H1034" i="24"/>
  <c r="H1035" i="24"/>
  <c r="H1036" i="24"/>
  <c r="H1037" i="24"/>
  <c r="H1038" i="24"/>
  <c r="H1039" i="24"/>
  <c r="H1040" i="24"/>
  <c r="H1041" i="24"/>
  <c r="H1042" i="24"/>
  <c r="H1043" i="24"/>
  <c r="H1044" i="24"/>
  <c r="H1045" i="24"/>
  <c r="H1046" i="24"/>
  <c r="H1047" i="24"/>
  <c r="H1048" i="24"/>
  <c r="H1049" i="24"/>
  <c r="H1050" i="24"/>
  <c r="H1051" i="24"/>
  <c r="H1052" i="24"/>
  <c r="H1053" i="24"/>
  <c r="H1054" i="24"/>
  <c r="H1055" i="24"/>
  <c r="H1056" i="24"/>
  <c r="H1057" i="24"/>
  <c r="H1058" i="24"/>
  <c r="H1059" i="24"/>
  <c r="H1060" i="24"/>
  <c r="H1061" i="24"/>
  <c r="H1062" i="24"/>
  <c r="H1063" i="24"/>
  <c r="H1064" i="24"/>
  <c r="H1065" i="24"/>
  <c r="H1066" i="24"/>
  <c r="H1067" i="24"/>
  <c r="H1068" i="24"/>
  <c r="H1069" i="24"/>
  <c r="H1070" i="24"/>
  <c r="H1071" i="24"/>
  <c r="H1072" i="24"/>
  <c r="H1073" i="24"/>
  <c r="H1074" i="24"/>
  <c r="H1075" i="24"/>
  <c r="H1076" i="24"/>
  <c r="H1077" i="24"/>
  <c r="H1078" i="24"/>
  <c r="H1079" i="24"/>
  <c r="H1080" i="24"/>
  <c r="H1081" i="24"/>
  <c r="H1082" i="24"/>
  <c r="H1083" i="24"/>
  <c r="H1084" i="24"/>
  <c r="H1085" i="24"/>
  <c r="H1086" i="24"/>
  <c r="H1087" i="24"/>
  <c r="H1088" i="24"/>
  <c r="H1089" i="24"/>
  <c r="H1090" i="24"/>
  <c r="H1091" i="24"/>
  <c r="H1092" i="24"/>
  <c r="H1093" i="24"/>
  <c r="H1094" i="24"/>
  <c r="H1095" i="24"/>
  <c r="H1096" i="24"/>
  <c r="H1097" i="24"/>
  <c r="H1098" i="24"/>
  <c r="H1100" i="24"/>
  <c r="H1101" i="24"/>
  <c r="H1102" i="24"/>
  <c r="H1103" i="24"/>
  <c r="H1104" i="24"/>
  <c r="H1105" i="24"/>
  <c r="H1106" i="24"/>
  <c r="H1107" i="24"/>
  <c r="H1108" i="24"/>
  <c r="H1109" i="24"/>
  <c r="H1110" i="24"/>
  <c r="H1111" i="24"/>
  <c r="H1112" i="24"/>
  <c r="H1113" i="24"/>
  <c r="H1114" i="24"/>
  <c r="H1115" i="24"/>
  <c r="H1116" i="24"/>
  <c r="H1117" i="24"/>
  <c r="H1118" i="24"/>
  <c r="H1119" i="24"/>
  <c r="H1120" i="24"/>
  <c r="H1121" i="24"/>
  <c r="H1122" i="24"/>
  <c r="H1123" i="24"/>
  <c r="H1124" i="24"/>
  <c r="H1125" i="24"/>
  <c r="H1126" i="24"/>
  <c r="H1127" i="24"/>
  <c r="H1128" i="24"/>
  <c r="H1129" i="24"/>
  <c r="H1130" i="24"/>
  <c r="H1131" i="24"/>
  <c r="H1132" i="24"/>
  <c r="H1133" i="24"/>
  <c r="H1134" i="24"/>
  <c r="H1135" i="24"/>
  <c r="H1136" i="24"/>
  <c r="H1137" i="24"/>
  <c r="H1138" i="24"/>
  <c r="H1139" i="24"/>
  <c r="H1140" i="24"/>
  <c r="H1141" i="24"/>
  <c r="H1142" i="24"/>
  <c r="H1143" i="24"/>
  <c r="H1144" i="24"/>
  <c r="H1145" i="24"/>
  <c r="H1146" i="24"/>
  <c r="H1147" i="24"/>
  <c r="H1148" i="24"/>
  <c r="H1149" i="24"/>
  <c r="H1150" i="24"/>
  <c r="H1151" i="24"/>
  <c r="H1152" i="24"/>
  <c r="H1153" i="24"/>
  <c r="H1154" i="24"/>
  <c r="H1155" i="24"/>
  <c r="H1156" i="24"/>
  <c r="H1157" i="24"/>
  <c r="H1158" i="24"/>
  <c r="H1159" i="24"/>
  <c r="H1160" i="24"/>
  <c r="H1161" i="24"/>
  <c r="H1162" i="24"/>
  <c r="H1163" i="24"/>
  <c r="H1164" i="24"/>
  <c r="H1165" i="24"/>
  <c r="H1167" i="24"/>
  <c r="H1168" i="24"/>
  <c r="H1169" i="24"/>
  <c r="H1170" i="24"/>
  <c r="H1171" i="24"/>
  <c r="H1172" i="24"/>
  <c r="H1173" i="24"/>
  <c r="H1174" i="24"/>
  <c r="H1175" i="24"/>
  <c r="H1176" i="24"/>
  <c r="H1177" i="24"/>
  <c r="H1178" i="24"/>
  <c r="H1179" i="24"/>
  <c r="H1180" i="24"/>
  <c r="H1181" i="24"/>
  <c r="H1182" i="24"/>
  <c r="H1183" i="24"/>
  <c r="H1184" i="24"/>
  <c r="H1185" i="24"/>
  <c r="H1186" i="24"/>
  <c r="H1187" i="24"/>
  <c r="H1188" i="24"/>
  <c r="H1189" i="24"/>
  <c r="H1190" i="24"/>
  <c r="H1191" i="24"/>
  <c r="H1192" i="24"/>
  <c r="H1193" i="24"/>
  <c r="H1194" i="24"/>
  <c r="H1195" i="24"/>
  <c r="H1196" i="24"/>
  <c r="H1197" i="24"/>
  <c r="H1198" i="24"/>
  <c r="H1199" i="24"/>
  <c r="H1200" i="24"/>
  <c r="H1201" i="24"/>
  <c r="H1202" i="24"/>
  <c r="H1203" i="24"/>
  <c r="H1204" i="24"/>
  <c r="H1205" i="24"/>
  <c r="H1206" i="24"/>
  <c r="H1207" i="24"/>
  <c r="H1208" i="24"/>
  <c r="H1209" i="24"/>
  <c r="H1210" i="24"/>
  <c r="H1211" i="24"/>
  <c r="H1212" i="24"/>
  <c r="H1213" i="24"/>
  <c r="H1214" i="24"/>
  <c r="H1215" i="24"/>
  <c r="H1216" i="24"/>
  <c r="H1217" i="24"/>
  <c r="H1218" i="24"/>
  <c r="H1219" i="24"/>
  <c r="H1220" i="24"/>
  <c r="H1221" i="24"/>
  <c r="H1222" i="24"/>
  <c r="H1223" i="24"/>
  <c r="H1224" i="24"/>
  <c r="H1225" i="24"/>
  <c r="H1226" i="24"/>
  <c r="H1227" i="24"/>
  <c r="H1228" i="24"/>
  <c r="H1229" i="24"/>
  <c r="H1230" i="24"/>
  <c r="H1231" i="24"/>
  <c r="H1232" i="24"/>
  <c r="H1233" i="24"/>
  <c r="H1234" i="24"/>
  <c r="H1235" i="24"/>
  <c r="H1236" i="24"/>
  <c r="H1237" i="24"/>
  <c r="H1238" i="24"/>
  <c r="H1239" i="24"/>
  <c r="H1240" i="24"/>
  <c r="H1241" i="24"/>
  <c r="H1242" i="24"/>
  <c r="H1243" i="24"/>
  <c r="H1244" i="24"/>
  <c r="H1245" i="24"/>
  <c r="H1246" i="24"/>
  <c r="H1247" i="24"/>
  <c r="H1248" i="24"/>
  <c r="H1249" i="24"/>
  <c r="H1250" i="24"/>
  <c r="H1251" i="24"/>
  <c r="H1252" i="24"/>
  <c r="H1253" i="24"/>
  <c r="H1254" i="24"/>
  <c r="H1255" i="24"/>
  <c r="H1256" i="24"/>
  <c r="H1257" i="24"/>
  <c r="H1258" i="24"/>
  <c r="H1259" i="24"/>
  <c r="H1260" i="24"/>
  <c r="H1261" i="24"/>
  <c r="H1262" i="24"/>
  <c r="H1263" i="24"/>
  <c r="H1264" i="24"/>
  <c r="H1266" i="24"/>
  <c r="H1267" i="24"/>
  <c r="H1268" i="24"/>
  <c r="H1269" i="24"/>
  <c r="H1270" i="24"/>
  <c r="H1271" i="24"/>
  <c r="H1272" i="24"/>
  <c r="H1273" i="24"/>
  <c r="H1274" i="24"/>
  <c r="H1275" i="24"/>
  <c r="H1276" i="24"/>
  <c r="H1277" i="24"/>
  <c r="H1278" i="24"/>
  <c r="H1279" i="24"/>
  <c r="H1280" i="24"/>
  <c r="H1281" i="24"/>
  <c r="H1282" i="24"/>
  <c r="H1283" i="24"/>
  <c r="H1284" i="24"/>
  <c r="H1285" i="24"/>
  <c r="H1286" i="24"/>
  <c r="H1287" i="24"/>
  <c r="H1288" i="24"/>
  <c r="H1289" i="24"/>
  <c r="H1290" i="24"/>
  <c r="H1291" i="24"/>
  <c r="H1292" i="24"/>
  <c r="H1293" i="24"/>
  <c r="H1294" i="24"/>
  <c r="H1295" i="24"/>
  <c r="H1296" i="24"/>
  <c r="H1297" i="24"/>
  <c r="H1298" i="24"/>
  <c r="H1299" i="24"/>
  <c r="H1300" i="24"/>
  <c r="H1301" i="24"/>
  <c r="H1302" i="24"/>
  <c r="H1303" i="24"/>
  <c r="H1304" i="24"/>
  <c r="H1305" i="24"/>
  <c r="H1306" i="24"/>
  <c r="H1307" i="24"/>
  <c r="H1308" i="24"/>
  <c r="H1309" i="24"/>
  <c r="H1310" i="24"/>
  <c r="H1311" i="24"/>
  <c r="H1312" i="24"/>
  <c r="H1313" i="24"/>
  <c r="H1314" i="24"/>
  <c r="H1315" i="24"/>
  <c r="H1316" i="24"/>
  <c r="H1317" i="24"/>
  <c r="H1318" i="24"/>
  <c r="H1319" i="24"/>
  <c r="H1320" i="24"/>
  <c r="H1321" i="24"/>
  <c r="H1322" i="24"/>
  <c r="H1323" i="24"/>
  <c r="H1324" i="24"/>
  <c r="H1325" i="24"/>
  <c r="H1326" i="24"/>
  <c r="H1327" i="24"/>
  <c r="H1328" i="24"/>
  <c r="H1329" i="24"/>
  <c r="H1330" i="24"/>
  <c r="H1331" i="24"/>
  <c r="H1332" i="24"/>
  <c r="H1333" i="24"/>
  <c r="H1334" i="24"/>
  <c r="H1335" i="24"/>
  <c r="H1336" i="24"/>
  <c r="H1337" i="24"/>
  <c r="H1338" i="24"/>
  <c r="H1339" i="24"/>
  <c r="H1340" i="24"/>
  <c r="H1341" i="24"/>
  <c r="H1342" i="24"/>
  <c r="H1343" i="24"/>
  <c r="H1344" i="24"/>
  <c r="H1345" i="24"/>
  <c r="H1346" i="24"/>
  <c r="H1347" i="24"/>
  <c r="H1348" i="24"/>
  <c r="H1349" i="24"/>
  <c r="H1350" i="24"/>
  <c r="H1351" i="24"/>
  <c r="H1352" i="24"/>
  <c r="H1353" i="24"/>
  <c r="H1354" i="24"/>
  <c r="H1355" i="24"/>
  <c r="H1356" i="24"/>
  <c r="H1357" i="24"/>
  <c r="H1358" i="24"/>
  <c r="H1359" i="24"/>
  <c r="H1360" i="24"/>
  <c r="H1361" i="24"/>
  <c r="H1362" i="24"/>
  <c r="H1363" i="24"/>
  <c r="H1364" i="24"/>
  <c r="H1365" i="24"/>
  <c r="H1366" i="24"/>
  <c r="H1367" i="24"/>
  <c r="H1368" i="24"/>
  <c r="H1369" i="24"/>
  <c r="H1370" i="24"/>
  <c r="H1371" i="24"/>
  <c r="H1372" i="24"/>
  <c r="H1373" i="24"/>
  <c r="H1374" i="24"/>
  <c r="H1375" i="24"/>
  <c r="H1376" i="24"/>
  <c r="H1377" i="24"/>
  <c r="H1378" i="24"/>
  <c r="H1379" i="24"/>
  <c r="H1380" i="24"/>
  <c r="H1381" i="24"/>
  <c r="H1382" i="24"/>
  <c r="H1383" i="24"/>
  <c r="H1384" i="24"/>
  <c r="H1385" i="24"/>
  <c r="H1386" i="24"/>
  <c r="H1388" i="24"/>
  <c r="H1389" i="24"/>
  <c r="H1390" i="24"/>
  <c r="H1391" i="24"/>
  <c r="H1392" i="24"/>
  <c r="H1393" i="24"/>
  <c r="H1394" i="24"/>
  <c r="H1395" i="24"/>
  <c r="H1396" i="24"/>
  <c r="H1397" i="24"/>
  <c r="H1398" i="24"/>
  <c r="H1399" i="24"/>
  <c r="H1400" i="24"/>
  <c r="H1401" i="24"/>
  <c r="H1402" i="24"/>
  <c r="H1403" i="24"/>
  <c r="H1404" i="24"/>
  <c r="H1405" i="24"/>
  <c r="H1406" i="24"/>
  <c r="H1407" i="24"/>
  <c r="H1408" i="24"/>
  <c r="H1409" i="24"/>
  <c r="H1410" i="24"/>
  <c r="H1411" i="24"/>
  <c r="H1412" i="24"/>
  <c r="H1413" i="24"/>
  <c r="H1414" i="24"/>
  <c r="H1415" i="24"/>
  <c r="H1416" i="24"/>
  <c r="H1417" i="24"/>
  <c r="H1418" i="24"/>
  <c r="H1419" i="24"/>
  <c r="H1420" i="24"/>
  <c r="H1421" i="24"/>
  <c r="H1422" i="24"/>
  <c r="H1423" i="24"/>
  <c r="H1424" i="24"/>
  <c r="H1425" i="24"/>
  <c r="H1426" i="24"/>
  <c r="H1427" i="24"/>
  <c r="H1428" i="24"/>
  <c r="H1429" i="24"/>
  <c r="H1430" i="24"/>
  <c r="H1431" i="24"/>
  <c r="H1432" i="24"/>
  <c r="H1433" i="24"/>
  <c r="H1434" i="24"/>
  <c r="H1435" i="24"/>
  <c r="H1436" i="24"/>
  <c r="H1437" i="24"/>
  <c r="H1438" i="24"/>
  <c r="H1439" i="24"/>
  <c r="H1440" i="24"/>
  <c r="H1441" i="24"/>
  <c r="H1442" i="24"/>
  <c r="H1443" i="24"/>
  <c r="H1444" i="24"/>
  <c r="H1445" i="24"/>
  <c r="H1446" i="24"/>
  <c r="H1447" i="24"/>
  <c r="H1448" i="24"/>
  <c r="H1449" i="24"/>
  <c r="H1450" i="24"/>
  <c r="H1451" i="24"/>
  <c r="H1452" i="24"/>
  <c r="H1453" i="24"/>
  <c r="H1454" i="24"/>
  <c r="H1455" i="24"/>
  <c r="H1456" i="24"/>
  <c r="H1458" i="24"/>
  <c r="H1459" i="24"/>
  <c r="H1460" i="24"/>
  <c r="H1461" i="24"/>
  <c r="H1462" i="24"/>
  <c r="H1463" i="24"/>
  <c r="H1464" i="24"/>
  <c r="H1465" i="24"/>
  <c r="H1466" i="24"/>
  <c r="H1467" i="24"/>
  <c r="H1468" i="24"/>
  <c r="H1469" i="24"/>
  <c r="H1470" i="24"/>
  <c r="H1471" i="24"/>
  <c r="H1472" i="24"/>
  <c r="H1473" i="24"/>
  <c r="H1474" i="24"/>
  <c r="H1475" i="24"/>
  <c r="H1476" i="24"/>
  <c r="H1477" i="24"/>
  <c r="H1478" i="24"/>
  <c r="H1479" i="24"/>
  <c r="H1480" i="24"/>
  <c r="H1481" i="24"/>
  <c r="H1482" i="24"/>
  <c r="H1483" i="24"/>
  <c r="H1484" i="24"/>
  <c r="H1485" i="24"/>
  <c r="H1486" i="24"/>
  <c r="H1487" i="24"/>
  <c r="H1488" i="24"/>
  <c r="H1489" i="24"/>
  <c r="H1490" i="24"/>
  <c r="H1491" i="24"/>
  <c r="H1492" i="24"/>
  <c r="H1493" i="24"/>
  <c r="H1494" i="24"/>
  <c r="H1495" i="24"/>
  <c r="H1496" i="24"/>
  <c r="H1497" i="24"/>
  <c r="H1498" i="24"/>
  <c r="H1499" i="24"/>
  <c r="H1500" i="24"/>
  <c r="H1501" i="24"/>
  <c r="H1502" i="24"/>
  <c r="H1503" i="24"/>
  <c r="H1504" i="24"/>
  <c r="H1505" i="24"/>
  <c r="H1506" i="24"/>
  <c r="H1507" i="24"/>
  <c r="H1508" i="24"/>
  <c r="H1509" i="24"/>
  <c r="H1510" i="24"/>
  <c r="H1511" i="24"/>
  <c r="H1512" i="24"/>
  <c r="H1513" i="24"/>
  <c r="H1514" i="24"/>
  <c r="H1515" i="24"/>
  <c r="H1516" i="24"/>
  <c r="H1517" i="24"/>
  <c r="H1518" i="24"/>
  <c r="H1519" i="24"/>
  <c r="H1520" i="24"/>
  <c r="H1521" i="24"/>
  <c r="H1522" i="24"/>
  <c r="H1523" i="24"/>
  <c r="H1524" i="24"/>
  <c r="H1525" i="24"/>
  <c r="H1526" i="24"/>
  <c r="H1527" i="24"/>
  <c r="H1528" i="24"/>
  <c r="H1529" i="24"/>
  <c r="H1530" i="24"/>
  <c r="H1531" i="24"/>
  <c r="H1532" i="24"/>
  <c r="H1533" i="24"/>
  <c r="H1534" i="24"/>
  <c r="H1536" i="24"/>
  <c r="H1537" i="24"/>
  <c r="H1538" i="24"/>
  <c r="H1539" i="24"/>
  <c r="H1540" i="24"/>
  <c r="H1541" i="24"/>
  <c r="H1542" i="24"/>
  <c r="H1543" i="24"/>
  <c r="H1544" i="24"/>
  <c r="H1545" i="24"/>
  <c r="H1546" i="24"/>
  <c r="H1547" i="24"/>
  <c r="H1548" i="24"/>
  <c r="H1549" i="24"/>
  <c r="H1550" i="24"/>
  <c r="H1551" i="24"/>
  <c r="H1552" i="24"/>
  <c r="H1553" i="24"/>
  <c r="H1554" i="24"/>
  <c r="H1555" i="24"/>
  <c r="H1556" i="24"/>
  <c r="H1557" i="24"/>
  <c r="H1558" i="24"/>
  <c r="H1559" i="24"/>
  <c r="H1560" i="24"/>
  <c r="H1561" i="24"/>
  <c r="H1562" i="24"/>
  <c r="H1563" i="24"/>
  <c r="H1564" i="24"/>
  <c r="H1565" i="24"/>
  <c r="H1566" i="24"/>
  <c r="H1567" i="24"/>
  <c r="H1568" i="24"/>
  <c r="H1569" i="24"/>
  <c r="H1570" i="24"/>
  <c r="H1571" i="24"/>
  <c r="H1572" i="24"/>
  <c r="H1573" i="24"/>
  <c r="H1574" i="24"/>
  <c r="H1575" i="24"/>
  <c r="H1576" i="24"/>
  <c r="H1577" i="24"/>
  <c r="H1578" i="24"/>
  <c r="H1579" i="24"/>
  <c r="H1580" i="24"/>
  <c r="H1581" i="24"/>
  <c r="H1582" i="24"/>
  <c r="H1583" i="24"/>
  <c r="H1585" i="24"/>
  <c r="H1586" i="24"/>
  <c r="H1587" i="24"/>
  <c r="H1588" i="24"/>
  <c r="H1589" i="24"/>
  <c r="H1590" i="24"/>
  <c r="H1591" i="24"/>
  <c r="H1592" i="24"/>
  <c r="H1593" i="24"/>
  <c r="H1594" i="24"/>
  <c r="H1595" i="24"/>
  <c r="H1596" i="24"/>
  <c r="H1597" i="24"/>
  <c r="H1598" i="24"/>
  <c r="H1599" i="24"/>
  <c r="H1600" i="24"/>
  <c r="H1601" i="24"/>
  <c r="H1602" i="24"/>
  <c r="H1603" i="24"/>
  <c r="H1604" i="24"/>
  <c r="H1605" i="24"/>
  <c r="H1606" i="24"/>
  <c r="H1607" i="24"/>
  <c r="H1608" i="24"/>
  <c r="H1609" i="24"/>
  <c r="H1610" i="24"/>
  <c r="H1611" i="24"/>
  <c r="H1612" i="24"/>
  <c r="H1613" i="24"/>
  <c r="H1614" i="24"/>
  <c r="H1615" i="24"/>
  <c r="H1616" i="24"/>
  <c r="H1617" i="24"/>
  <c r="H1618" i="24"/>
  <c r="H1619" i="24"/>
  <c r="H1620" i="24"/>
  <c r="H1621" i="24"/>
  <c r="H1622" i="24"/>
  <c r="H1623" i="24"/>
  <c r="H1624" i="24"/>
  <c r="H1625" i="24"/>
  <c r="H1626" i="24"/>
  <c r="H1627" i="24"/>
  <c r="H1628" i="24"/>
  <c r="H1629" i="24"/>
  <c r="H1630" i="24"/>
  <c r="H1631" i="24"/>
  <c r="H1632" i="24"/>
  <c r="H1633" i="24"/>
  <c r="H1634" i="24"/>
  <c r="H1635" i="24"/>
  <c r="H1636" i="24"/>
  <c r="H1637" i="24"/>
  <c r="H1638" i="24"/>
  <c r="H1639" i="24"/>
  <c r="H1640" i="24"/>
  <c r="H1641" i="24"/>
  <c r="H1642" i="24"/>
  <c r="H1643" i="24"/>
  <c r="H1644" i="24"/>
  <c r="H1645" i="24"/>
  <c r="H1646" i="24"/>
  <c r="H1647" i="24"/>
  <c r="H1648" i="24"/>
  <c r="H1649" i="24"/>
  <c r="H1650" i="24"/>
  <c r="H1651" i="24"/>
  <c r="H1652" i="24"/>
  <c r="H1653" i="24"/>
  <c r="H1654" i="24"/>
  <c r="H1655" i="24"/>
  <c r="H1656" i="24"/>
  <c r="H1657" i="24"/>
  <c r="H1658" i="24"/>
  <c r="H1659" i="24"/>
  <c r="H1660" i="24"/>
  <c r="H1661" i="24"/>
  <c r="H1662" i="24"/>
  <c r="H1663" i="24"/>
  <c r="H1664" i="24"/>
  <c r="H1665" i="24"/>
  <c r="H1666" i="24"/>
  <c r="H1667" i="24"/>
  <c r="H1668" i="24"/>
  <c r="H1669" i="24"/>
  <c r="H1670" i="24"/>
  <c r="H1671" i="24"/>
  <c r="H1672" i="24"/>
  <c r="H1673" i="24"/>
  <c r="H1674" i="24"/>
  <c r="H1675" i="24"/>
  <c r="H1676" i="24"/>
  <c r="H1677" i="24"/>
  <c r="H1678" i="24"/>
  <c r="H1679" i="24"/>
  <c r="H1680" i="24"/>
  <c r="H1681" i="24"/>
  <c r="H1682" i="24"/>
  <c r="H1683" i="24"/>
  <c r="H1684" i="24"/>
  <c r="H1685" i="24"/>
  <c r="H1686" i="24"/>
  <c r="H1687" i="24"/>
  <c r="H1688" i="24"/>
  <c r="H1689" i="24"/>
  <c r="H1690" i="24"/>
  <c r="H1691" i="24"/>
  <c r="H1692" i="24"/>
  <c r="H1693" i="24"/>
  <c r="H1694" i="24"/>
  <c r="H1695" i="24"/>
  <c r="H1696" i="24"/>
  <c r="H1697" i="24"/>
  <c r="H1698" i="24"/>
  <c r="H1699" i="24"/>
  <c r="H1700" i="24"/>
  <c r="H1701" i="24"/>
  <c r="H1702" i="24"/>
  <c r="H1703" i="24"/>
  <c r="H1704" i="24"/>
  <c r="H1705" i="24"/>
  <c r="H1706" i="24"/>
  <c r="H1707" i="24"/>
  <c r="H1708" i="24"/>
  <c r="H1709" i="24"/>
  <c r="H1710" i="24"/>
  <c r="H1711" i="24"/>
  <c r="H1712" i="24"/>
  <c r="H1713" i="24"/>
  <c r="H1714" i="24"/>
  <c r="H1715" i="24"/>
  <c r="H1716" i="24"/>
  <c r="H1717" i="24"/>
  <c r="H1718" i="24"/>
  <c r="H1719" i="24"/>
  <c r="H1720" i="24"/>
  <c r="H1721" i="24"/>
  <c r="H1722" i="24"/>
  <c r="H1723" i="24"/>
  <c r="H1724" i="24"/>
  <c r="H1725" i="24"/>
  <c r="H1726" i="24"/>
  <c r="H1727" i="24"/>
  <c r="H1728" i="24"/>
  <c r="H1729" i="24"/>
  <c r="H1730" i="24"/>
  <c r="H1731" i="24"/>
  <c r="H1732" i="24"/>
  <c r="H1733" i="24"/>
  <c r="H1734" i="24"/>
  <c r="H1735" i="24"/>
  <c r="H1736" i="24"/>
  <c r="H1737" i="24"/>
  <c r="H1738" i="24"/>
  <c r="H1739" i="24"/>
  <c r="H1740" i="24"/>
  <c r="H1741" i="24"/>
  <c r="H1742" i="24"/>
  <c r="H1743" i="24"/>
  <c r="H1744" i="24"/>
  <c r="H1745" i="24"/>
  <c r="H1746" i="24"/>
  <c r="H1747" i="24"/>
  <c r="H1748" i="24"/>
  <c r="H1749" i="24"/>
  <c r="H1750" i="24"/>
  <c r="H1751" i="24"/>
  <c r="H1752" i="24"/>
  <c r="H1753" i="24"/>
  <c r="H1754" i="24"/>
  <c r="H1755" i="24"/>
  <c r="H1756" i="24"/>
  <c r="H1757" i="24"/>
  <c r="H1758" i="24"/>
  <c r="H1759" i="24"/>
  <c r="H1760" i="24"/>
  <c r="H1761" i="24"/>
  <c r="H1762" i="24"/>
  <c r="H1763" i="24"/>
  <c r="H1764" i="24"/>
  <c r="H1765" i="24"/>
  <c r="H1766" i="24"/>
  <c r="H1767" i="24"/>
  <c r="H1768" i="24"/>
  <c r="H1769" i="24"/>
  <c r="H1770" i="24"/>
  <c r="H1771" i="24"/>
  <c r="H1772" i="24"/>
  <c r="H1773" i="24"/>
  <c r="H1774" i="24"/>
  <c r="H1775" i="24"/>
  <c r="H1776" i="24"/>
  <c r="H1777" i="24"/>
  <c r="H1778" i="24"/>
  <c r="H1779" i="24"/>
  <c r="H1780" i="24"/>
  <c r="H1782" i="24"/>
  <c r="H1783" i="24"/>
  <c r="H1784" i="24"/>
  <c r="H1785" i="24"/>
  <c r="H1786" i="24"/>
  <c r="H1787" i="24"/>
  <c r="H1788" i="24"/>
  <c r="H1789" i="24"/>
  <c r="H1790" i="24"/>
  <c r="H1791" i="24"/>
  <c r="H1792" i="24"/>
  <c r="H1793" i="24"/>
  <c r="H1794" i="24"/>
  <c r="H1795" i="24"/>
  <c r="H1796" i="24"/>
  <c r="H1797" i="24"/>
  <c r="H1798" i="24"/>
  <c r="H1799" i="24"/>
  <c r="H1800" i="24"/>
  <c r="H1801" i="24"/>
  <c r="H1802" i="24"/>
  <c r="H1803" i="24"/>
  <c r="H1804" i="24"/>
  <c r="H1805" i="24"/>
  <c r="H1806" i="24"/>
  <c r="H1807" i="24"/>
  <c r="H1808" i="24"/>
  <c r="H1809" i="24"/>
  <c r="H1810" i="24"/>
  <c r="H1811" i="24"/>
  <c r="H1812" i="24"/>
  <c r="H1813" i="24"/>
  <c r="H1814" i="24"/>
  <c r="H1815" i="24"/>
  <c r="H1816" i="24"/>
  <c r="H1817" i="24"/>
  <c r="H1818" i="24"/>
  <c r="H1819" i="24"/>
  <c r="H1820" i="24"/>
  <c r="H1821" i="24"/>
  <c r="H1822" i="24"/>
  <c r="H1823" i="24"/>
  <c r="H1824" i="24"/>
  <c r="H1825" i="24"/>
  <c r="H1826" i="24"/>
  <c r="H1827" i="24"/>
  <c r="H1828" i="24"/>
  <c r="H1829" i="24"/>
  <c r="H1830" i="24"/>
  <c r="H1831" i="24"/>
  <c r="H1832" i="24"/>
  <c r="H1833" i="24"/>
  <c r="H1834" i="24"/>
  <c r="H1835" i="24"/>
  <c r="H1836" i="24"/>
  <c r="H1837" i="24"/>
  <c r="H1838" i="24"/>
  <c r="H1839" i="24"/>
  <c r="H1840" i="24"/>
  <c r="H1841" i="24"/>
  <c r="H1842" i="24"/>
  <c r="H1843" i="24"/>
  <c r="H1844" i="24"/>
  <c r="H1845" i="24"/>
  <c r="H1846" i="24"/>
  <c r="H1847" i="24"/>
  <c r="H1848" i="24"/>
  <c r="H1849" i="24"/>
  <c r="H1850" i="24"/>
  <c r="H1851" i="24"/>
  <c r="H1852" i="24"/>
  <c r="H1853" i="24"/>
  <c r="H1854" i="24"/>
  <c r="H1855" i="24"/>
  <c r="H1856" i="24"/>
  <c r="H1857" i="24"/>
  <c r="H1858" i="24"/>
  <c r="H1859" i="24"/>
  <c r="H1860" i="24"/>
  <c r="H1861" i="24"/>
  <c r="H1862" i="24"/>
  <c r="H1863" i="24"/>
  <c r="H1864" i="24"/>
  <c r="H1865" i="24"/>
  <c r="H1866" i="24"/>
  <c r="H1867" i="24"/>
  <c r="H1868" i="24"/>
  <c r="H1869" i="24"/>
  <c r="H1870" i="24"/>
  <c r="H1871" i="24"/>
  <c r="H1872" i="24"/>
  <c r="H1873" i="24"/>
  <c r="H1874" i="24"/>
  <c r="H1875" i="24"/>
  <c r="H1877" i="24"/>
  <c r="H1878" i="24"/>
  <c r="H1879" i="24"/>
  <c r="H1880" i="24"/>
  <c r="H1881" i="24"/>
  <c r="H1882" i="24"/>
  <c r="H1883" i="24"/>
  <c r="H1884" i="24"/>
  <c r="H1885" i="24"/>
  <c r="H1886" i="24"/>
  <c r="H1887" i="24"/>
  <c r="H1888" i="24"/>
  <c r="H1889" i="24"/>
  <c r="H1890" i="24"/>
  <c r="H1891" i="24"/>
  <c r="H1892" i="24"/>
  <c r="H1893" i="24"/>
  <c r="H1894" i="24"/>
  <c r="H1895" i="24"/>
  <c r="H1896" i="24"/>
  <c r="H1897" i="24"/>
  <c r="H1898" i="24"/>
  <c r="H1899" i="24"/>
  <c r="H1900" i="24"/>
  <c r="H1901" i="24"/>
  <c r="H1902" i="24"/>
  <c r="H1903" i="24"/>
  <c r="H1904" i="24"/>
  <c r="H1905" i="24"/>
  <c r="H1906" i="24"/>
  <c r="H1907" i="24"/>
  <c r="H1908" i="24"/>
  <c r="H1909" i="24"/>
  <c r="H1910" i="24"/>
  <c r="H1911" i="24"/>
  <c r="H1912" i="24"/>
  <c r="H1913" i="24"/>
  <c r="H1914" i="24"/>
  <c r="H1915" i="24"/>
  <c r="H1916" i="24"/>
  <c r="H1917" i="24"/>
  <c r="H1918" i="24"/>
  <c r="H1919" i="24"/>
  <c r="H1920" i="24"/>
  <c r="H1921" i="24"/>
  <c r="H1922" i="24"/>
  <c r="H1923" i="24"/>
  <c r="H1924" i="24"/>
  <c r="H1925" i="24"/>
  <c r="H1926" i="24"/>
  <c r="H1927" i="24"/>
  <c r="H1928" i="24"/>
  <c r="H1929" i="24"/>
  <c r="H1930" i="24"/>
  <c r="H1931" i="24"/>
  <c r="H1932" i="24"/>
  <c r="H1933" i="24"/>
  <c r="H1934" i="24"/>
  <c r="H1935" i="24"/>
  <c r="H1936" i="24"/>
  <c r="H1937" i="24"/>
  <c r="H1938" i="24"/>
  <c r="H1939" i="24"/>
  <c r="H1940" i="24"/>
  <c r="H1941" i="24"/>
  <c r="H1942" i="24"/>
  <c r="H1943" i="24"/>
  <c r="H1944" i="24"/>
  <c r="H1945" i="24"/>
  <c r="H1946" i="24"/>
  <c r="H1947" i="24"/>
  <c r="H1948" i="24"/>
  <c r="H1949" i="24"/>
  <c r="H1950" i="24"/>
  <c r="H1951" i="24"/>
  <c r="H1952" i="24"/>
  <c r="H1953" i="24"/>
  <c r="H1954" i="24"/>
  <c r="H1955" i="24"/>
  <c r="H1956" i="24"/>
  <c r="H1957" i="24"/>
  <c r="H1958" i="24"/>
  <c r="H1959" i="24"/>
  <c r="H1960" i="24"/>
  <c r="H1961" i="24"/>
  <c r="H1962" i="24"/>
  <c r="H1963" i="24"/>
  <c r="H1964" i="24"/>
  <c r="H1965" i="24"/>
  <c r="H1966" i="24"/>
  <c r="H1967" i="24"/>
  <c r="H1968" i="24"/>
  <c r="H1969" i="24"/>
  <c r="H1971" i="24"/>
  <c r="H1972" i="24"/>
  <c r="H1973" i="24"/>
  <c r="H1974" i="24"/>
  <c r="H1975" i="24"/>
  <c r="H1976" i="24"/>
  <c r="H1977" i="24"/>
  <c r="H1978" i="24"/>
  <c r="H1979" i="24"/>
  <c r="H1980" i="24"/>
  <c r="H1981" i="24"/>
  <c r="H1982" i="24"/>
  <c r="H1983" i="24"/>
  <c r="H1984" i="24"/>
  <c r="H1985" i="24"/>
  <c r="H1986" i="24"/>
  <c r="H1987" i="24"/>
  <c r="H1988" i="24"/>
  <c r="H1989" i="24"/>
  <c r="H1990" i="24"/>
  <c r="H1991" i="24"/>
  <c r="H1992" i="24"/>
  <c r="H1993" i="24"/>
  <c r="H1994" i="24"/>
  <c r="H1995" i="24"/>
  <c r="H1996" i="24"/>
  <c r="H1997" i="24"/>
  <c r="H1998" i="24"/>
  <c r="H1999" i="24"/>
  <c r="H2000" i="24"/>
  <c r="H2001" i="24"/>
  <c r="H2002" i="24"/>
  <c r="H2003" i="24"/>
  <c r="H2004" i="24"/>
  <c r="H2005" i="24"/>
  <c r="H2006" i="24"/>
  <c r="H2007" i="24"/>
  <c r="H2008" i="24"/>
  <c r="H2009" i="24"/>
  <c r="H2010" i="24"/>
  <c r="H2011" i="24"/>
  <c r="H2012" i="24"/>
  <c r="H2013" i="24"/>
  <c r="H2014" i="24"/>
  <c r="H2015" i="24"/>
  <c r="H2016" i="24"/>
  <c r="H2017" i="24"/>
  <c r="H2018" i="24"/>
  <c r="H2019" i="24"/>
  <c r="H2020" i="24"/>
  <c r="H2021" i="24"/>
  <c r="H2022" i="24"/>
  <c r="H2023" i="24"/>
  <c r="H2024" i="24"/>
  <c r="H2025" i="24"/>
  <c r="H2026" i="24"/>
  <c r="H2027" i="24"/>
  <c r="H2028" i="24"/>
  <c r="H2029" i="24"/>
  <c r="H2030" i="24"/>
  <c r="H2031" i="24"/>
  <c r="H2032" i="24"/>
  <c r="H2033" i="24"/>
  <c r="H2034" i="24"/>
  <c r="H2035" i="24"/>
  <c r="H2036" i="24"/>
  <c r="H2037" i="24"/>
  <c r="H2038" i="24"/>
  <c r="H2039" i="24"/>
  <c r="H2040" i="24"/>
  <c r="H2041" i="24"/>
  <c r="H2042" i="24"/>
  <c r="H2043" i="24"/>
  <c r="H2044" i="24"/>
  <c r="H2045" i="24"/>
  <c r="H2046" i="24"/>
  <c r="H2048" i="24"/>
  <c r="H2049" i="24"/>
  <c r="H2050" i="24"/>
  <c r="H2051" i="24"/>
  <c r="H2052" i="24"/>
  <c r="H2053" i="24"/>
  <c r="H2054" i="24"/>
  <c r="H2055" i="24"/>
  <c r="H2056" i="24"/>
  <c r="H2057" i="24"/>
  <c r="H2058" i="24"/>
  <c r="H2059" i="24"/>
  <c r="H2060" i="24"/>
  <c r="H2061" i="24"/>
  <c r="H2062" i="24"/>
  <c r="H2063" i="24"/>
  <c r="H2064" i="24"/>
  <c r="H2065" i="24"/>
  <c r="H2066" i="24"/>
  <c r="H2067" i="24"/>
  <c r="H2068" i="24"/>
  <c r="H2069" i="24"/>
  <c r="H2070" i="24"/>
  <c r="H2071" i="24"/>
  <c r="H2072" i="24"/>
  <c r="H2073" i="24"/>
  <c r="H2074" i="24"/>
  <c r="H2075" i="24"/>
  <c r="H2076" i="24"/>
  <c r="H2077" i="24"/>
  <c r="H2078" i="24"/>
  <c r="H2079" i="24"/>
  <c r="H2080" i="24"/>
  <c r="H2081" i="24"/>
  <c r="H2082" i="24"/>
  <c r="H2083" i="24"/>
  <c r="H2084" i="24"/>
  <c r="H2085" i="24"/>
  <c r="H2086" i="24"/>
  <c r="H2087" i="24"/>
  <c r="H2088" i="24"/>
  <c r="H2089" i="24"/>
  <c r="H2090" i="24"/>
  <c r="H2091" i="24"/>
  <c r="H2092" i="24"/>
  <c r="H2093" i="24"/>
  <c r="H2094" i="24"/>
  <c r="H2095" i="24"/>
  <c r="H2096" i="24"/>
  <c r="H2097" i="24"/>
  <c r="H2098" i="24"/>
  <c r="H2099" i="24"/>
  <c r="H2100" i="24"/>
  <c r="H2101" i="24"/>
  <c r="H2102" i="24"/>
  <c r="H2103" i="24"/>
  <c r="H2104" i="24"/>
  <c r="H2105" i="24"/>
  <c r="H2106" i="24"/>
  <c r="H2107" i="24"/>
  <c r="H2108" i="24"/>
  <c r="H2109" i="24"/>
  <c r="H2110" i="24"/>
  <c r="H2111" i="24"/>
  <c r="H2112" i="24"/>
  <c r="H2113" i="24"/>
  <c r="H2114" i="24"/>
  <c r="H2115" i="24"/>
  <c r="H2116" i="24"/>
  <c r="H2117" i="24"/>
  <c r="H2118" i="24"/>
  <c r="H2119" i="24"/>
  <c r="H2120" i="24"/>
  <c r="H2121" i="24"/>
  <c r="H2122" i="24"/>
  <c r="H2123" i="24"/>
  <c r="H2124" i="24"/>
  <c r="H2125" i="24"/>
  <c r="H2126" i="24"/>
  <c r="H2127" i="24"/>
  <c r="H2128" i="24"/>
  <c r="H2129" i="24"/>
  <c r="H2130" i="24"/>
  <c r="H2131" i="24"/>
  <c r="H2132" i="24"/>
  <c r="H2134" i="24"/>
  <c r="H2135" i="24"/>
  <c r="H2136" i="24"/>
  <c r="H2137" i="24"/>
  <c r="H2138" i="24"/>
  <c r="H2139" i="24"/>
  <c r="H2140" i="24"/>
  <c r="H2141" i="24"/>
  <c r="H2142" i="24"/>
  <c r="H2143" i="24"/>
  <c r="H2144" i="24"/>
  <c r="H2145" i="24"/>
  <c r="H2146" i="24"/>
  <c r="H2147" i="24"/>
  <c r="H2148" i="24"/>
  <c r="H2149" i="24"/>
  <c r="H2150" i="24"/>
  <c r="H2151" i="24"/>
  <c r="H2152" i="24"/>
  <c r="H2153" i="24"/>
  <c r="H2154" i="24"/>
  <c r="H2155" i="24"/>
  <c r="H2156" i="24"/>
  <c r="H2157" i="24"/>
  <c r="H2158" i="24"/>
  <c r="H2159" i="24"/>
  <c r="H2160" i="24"/>
  <c r="H2161" i="24"/>
  <c r="H2162" i="24"/>
  <c r="H2163" i="24"/>
  <c r="H2164" i="24"/>
  <c r="H2165" i="24"/>
  <c r="H2166" i="24"/>
  <c r="H2167" i="24"/>
  <c r="H2168" i="24"/>
  <c r="H2169" i="24"/>
  <c r="H2170" i="24"/>
  <c r="H2171" i="24"/>
  <c r="H2172" i="24"/>
  <c r="H2173" i="24"/>
  <c r="H2174" i="24"/>
  <c r="H2175" i="24"/>
  <c r="H2176" i="24"/>
  <c r="H2177" i="24"/>
  <c r="H2178" i="24"/>
  <c r="H2179" i="24"/>
  <c r="H2180" i="24"/>
  <c r="H2181" i="24"/>
  <c r="H2182" i="24"/>
  <c r="H2183" i="24"/>
  <c r="H2184" i="24"/>
  <c r="H2185" i="24"/>
  <c r="H2186" i="24"/>
  <c r="H2187" i="24"/>
  <c r="H2188" i="24"/>
  <c r="H2189" i="24"/>
  <c r="H2190" i="24"/>
  <c r="H2191" i="24"/>
  <c r="H2192" i="24"/>
  <c r="H2193" i="24"/>
  <c r="H2194" i="24"/>
  <c r="H2195" i="24"/>
  <c r="H2196" i="24"/>
  <c r="H2197" i="24"/>
  <c r="H2198" i="24"/>
  <c r="H2199" i="24"/>
  <c r="H2200" i="24"/>
  <c r="H2201" i="24"/>
  <c r="H2202" i="24"/>
  <c r="H2203" i="24"/>
  <c r="H2204" i="24"/>
  <c r="H2205" i="24"/>
  <c r="H2206" i="24"/>
  <c r="H2207" i="24"/>
  <c r="H2208" i="24"/>
  <c r="H2209" i="24"/>
  <c r="H2210" i="24"/>
  <c r="H2211" i="24"/>
  <c r="H2213" i="24"/>
  <c r="H2214" i="24"/>
  <c r="H2215" i="24"/>
  <c r="H2216" i="24"/>
  <c r="H2217" i="24"/>
  <c r="H2218" i="24"/>
  <c r="H2219" i="24"/>
  <c r="H2220" i="24"/>
  <c r="H2221" i="24"/>
  <c r="H2222" i="24"/>
  <c r="H2223" i="24"/>
  <c r="H2224" i="24"/>
  <c r="H2225" i="24"/>
  <c r="H2226" i="24"/>
  <c r="H2227" i="24"/>
  <c r="H2228" i="24"/>
  <c r="H2229" i="24"/>
  <c r="H2230" i="24"/>
  <c r="H2231" i="24"/>
  <c r="H2232" i="24"/>
  <c r="H2233" i="24"/>
  <c r="H2234" i="24"/>
  <c r="H2235" i="24"/>
  <c r="H2236" i="24"/>
  <c r="H2237" i="24"/>
  <c r="H2238" i="24"/>
  <c r="H2239" i="24"/>
  <c r="H2240" i="24"/>
  <c r="H2241" i="24"/>
  <c r="H2242" i="24"/>
  <c r="H2243" i="24"/>
  <c r="H2244" i="24"/>
  <c r="H2245" i="24"/>
  <c r="H2246" i="24"/>
  <c r="H2247" i="24"/>
  <c r="H2248" i="24"/>
  <c r="H2249" i="24"/>
  <c r="H2250" i="24"/>
  <c r="H2251" i="24"/>
  <c r="H2252" i="24"/>
  <c r="H2253" i="24"/>
  <c r="H2254" i="24"/>
  <c r="H2255" i="24"/>
  <c r="H2256" i="24"/>
  <c r="H2257" i="24"/>
  <c r="H2258" i="24"/>
  <c r="H2259" i="24"/>
  <c r="H2260" i="24"/>
  <c r="H2261" i="24"/>
  <c r="H2262" i="24"/>
  <c r="H2263" i="24"/>
  <c r="H2264" i="24"/>
  <c r="H2265" i="24"/>
  <c r="H2266" i="24"/>
  <c r="H2267" i="24"/>
  <c r="H2268" i="24"/>
  <c r="H2269" i="24"/>
  <c r="H2270" i="24"/>
  <c r="H2271" i="24"/>
  <c r="H2272" i="24"/>
  <c r="H2273" i="24"/>
  <c r="H2274" i="24"/>
  <c r="H2275" i="24"/>
  <c r="H2276" i="24"/>
  <c r="H2277" i="24"/>
  <c r="H2278" i="24"/>
  <c r="H2279" i="24"/>
  <c r="H2280" i="24"/>
  <c r="H2281" i="24"/>
  <c r="H2282" i="24"/>
  <c r="H2283" i="24"/>
  <c r="H2284" i="24"/>
  <c r="H2285" i="24"/>
  <c r="H2286" i="24"/>
  <c r="H2287" i="24"/>
  <c r="H2288" i="24"/>
  <c r="H2289" i="24"/>
  <c r="H2290" i="24"/>
  <c r="H2291" i="24"/>
  <c r="H2292" i="24"/>
  <c r="H2293" i="24"/>
  <c r="H2294" i="24"/>
  <c r="H2295" i="24"/>
  <c r="H2296" i="24"/>
  <c r="H2297" i="24"/>
  <c r="H2298" i="24"/>
  <c r="H2299" i="24"/>
  <c r="H2300" i="24"/>
  <c r="H2301" i="24"/>
  <c r="H2302" i="24"/>
  <c r="H2303" i="24"/>
  <c r="H2304" i="24"/>
  <c r="H2305" i="24"/>
  <c r="H2306" i="24"/>
  <c r="H2307" i="24"/>
  <c r="H2308" i="24"/>
  <c r="H2309" i="24"/>
  <c r="H2310" i="24"/>
  <c r="H2311" i="24"/>
  <c r="H2312" i="24"/>
  <c r="H2313" i="24"/>
  <c r="H2314" i="24"/>
  <c r="H2315" i="24"/>
  <c r="H2316" i="24"/>
  <c r="H2317" i="24"/>
  <c r="H2318" i="24"/>
  <c r="H2319" i="24"/>
  <c r="H2320" i="24"/>
  <c r="H2321" i="24"/>
  <c r="H2322" i="24"/>
  <c r="H2323" i="24"/>
  <c r="H2324" i="24"/>
  <c r="H2325" i="24"/>
  <c r="H2326" i="24"/>
  <c r="H2327" i="24"/>
  <c r="H2328" i="24"/>
  <c r="H2329" i="24"/>
  <c r="H2330" i="24"/>
  <c r="H2331" i="24"/>
  <c r="H2332" i="24"/>
  <c r="H2333" i="24"/>
  <c r="H2334" i="24"/>
  <c r="H2335" i="24"/>
  <c r="H2336" i="24"/>
  <c r="H2337" i="24"/>
  <c r="H2338" i="24"/>
  <c r="H2339" i="24"/>
  <c r="H2340" i="24"/>
  <c r="H2341" i="24"/>
  <c r="H2342" i="24"/>
  <c r="H2343" i="24"/>
  <c r="H2344" i="24"/>
  <c r="H2345" i="24"/>
  <c r="H2346" i="24"/>
  <c r="H2347" i="24"/>
  <c r="H2348" i="24"/>
  <c r="H2349" i="24"/>
  <c r="H2350" i="24"/>
  <c r="H2351" i="24"/>
  <c r="H2352" i="24"/>
  <c r="H2354" i="24"/>
  <c r="H2355" i="24"/>
  <c r="H2356" i="24"/>
  <c r="H2357" i="24"/>
  <c r="H2358" i="24"/>
  <c r="H2359" i="24"/>
  <c r="H2360" i="24"/>
  <c r="H2361" i="24"/>
  <c r="H2362" i="24"/>
  <c r="H2363" i="24"/>
  <c r="H2364" i="24"/>
  <c r="H2365" i="24"/>
  <c r="H2366" i="24"/>
  <c r="H2367" i="24"/>
  <c r="H2368" i="24"/>
  <c r="H2369" i="24"/>
  <c r="H2370" i="24"/>
  <c r="H2371" i="24"/>
  <c r="H2372" i="24"/>
  <c r="H2373" i="24"/>
  <c r="H2374" i="24"/>
  <c r="H2375" i="24"/>
  <c r="H2376" i="24"/>
  <c r="H2377" i="24"/>
  <c r="H2378" i="24"/>
  <c r="H2379" i="24"/>
  <c r="H2380" i="24"/>
  <c r="H2381" i="24"/>
  <c r="H2382" i="24"/>
  <c r="H2383" i="24"/>
  <c r="H2384" i="24"/>
  <c r="H2385" i="24"/>
  <c r="H2386" i="24"/>
  <c r="H2387" i="24"/>
  <c r="H2388" i="24"/>
  <c r="H2389" i="24"/>
  <c r="H2390" i="24"/>
  <c r="H2391" i="24"/>
  <c r="H2392" i="24"/>
  <c r="H2393" i="24"/>
  <c r="H2394" i="24"/>
  <c r="H2395" i="24"/>
  <c r="H2396" i="24"/>
  <c r="H2397" i="24"/>
  <c r="H2398" i="24"/>
  <c r="H2399" i="24"/>
  <c r="H2400" i="24"/>
  <c r="H2401" i="24"/>
  <c r="H2402" i="24"/>
  <c r="H2403" i="24"/>
  <c r="H2404" i="24"/>
  <c r="H2405" i="24"/>
  <c r="H2406" i="24"/>
  <c r="H2407" i="24"/>
  <c r="H2408" i="24"/>
  <c r="H2409" i="24"/>
  <c r="H2410" i="24"/>
  <c r="H2411" i="24"/>
  <c r="H2412" i="24"/>
  <c r="H2413" i="24"/>
  <c r="H2414" i="24"/>
  <c r="H2415" i="24"/>
  <c r="H2416" i="24"/>
  <c r="H2417" i="24"/>
  <c r="H2418" i="24"/>
  <c r="H2419" i="24"/>
  <c r="H2420" i="24"/>
  <c r="H2421" i="24"/>
  <c r="H2422" i="24"/>
  <c r="H2423" i="24"/>
  <c r="H2424" i="24"/>
  <c r="H2426" i="24"/>
  <c r="H2427" i="24"/>
  <c r="H2428" i="24"/>
  <c r="H2429" i="24"/>
  <c r="H2430" i="24"/>
  <c r="H2431" i="24"/>
  <c r="H2433" i="24"/>
  <c r="H2434" i="24"/>
  <c r="H2435" i="24"/>
  <c r="H2436" i="24"/>
  <c r="H2437" i="24"/>
  <c r="H2439" i="24"/>
  <c r="H2440" i="24"/>
  <c r="H2442" i="24"/>
  <c r="H2443" i="24"/>
  <c r="H2444" i="24"/>
  <c r="H2445" i="24"/>
  <c r="H2446" i="24"/>
  <c r="H2447" i="24"/>
  <c r="H2448" i="24"/>
  <c r="H2449" i="24"/>
  <c r="H2450" i="24"/>
  <c r="H2451" i="24"/>
  <c r="H2452" i="24"/>
  <c r="H2453" i="24"/>
  <c r="H2454" i="24"/>
  <c r="H2455" i="24"/>
  <c r="H2456" i="24"/>
  <c r="H2457" i="24"/>
  <c r="H2458" i="24"/>
  <c r="H2459" i="24"/>
  <c r="H2460" i="24"/>
  <c r="H2461" i="24"/>
  <c r="H2462" i="24"/>
  <c r="H2463" i="24"/>
  <c r="H2464" i="24"/>
  <c r="H2465" i="24"/>
  <c r="H2466" i="24"/>
  <c r="H2467" i="24"/>
  <c r="H2468" i="24"/>
  <c r="H2469" i="24"/>
  <c r="H2470" i="24"/>
  <c r="H2471" i="24"/>
  <c r="H2472" i="24"/>
  <c r="H2474" i="24"/>
  <c r="H2475" i="24"/>
  <c r="H2476" i="24"/>
  <c r="H2477" i="24"/>
  <c r="H2478" i="24"/>
  <c r="H2479" i="24"/>
  <c r="H2480" i="24"/>
  <c r="H2481" i="24"/>
  <c r="H2482" i="24"/>
  <c r="H2485" i="24"/>
  <c r="H2486" i="24"/>
  <c r="H2487" i="24"/>
  <c r="H2488" i="24"/>
  <c r="H2489" i="24"/>
  <c r="H2490" i="24"/>
  <c r="H2491" i="24"/>
  <c r="H2492" i="24"/>
  <c r="H2493" i="24"/>
  <c r="H2494" i="24"/>
  <c r="H2495" i="24"/>
  <c r="H2496" i="24"/>
  <c r="H2497" i="24"/>
  <c r="H2498" i="24"/>
  <c r="H2499" i="24"/>
  <c r="H2500" i="24"/>
  <c r="H2501" i="24"/>
  <c r="H2502" i="24"/>
  <c r="H2503" i="24"/>
  <c r="H2504" i="24"/>
  <c r="H2505" i="24"/>
  <c r="H2506" i="24"/>
  <c r="H2507" i="24"/>
  <c r="H2508" i="24"/>
  <c r="H2509" i="24"/>
  <c r="H2510" i="24"/>
  <c r="H2511" i="24"/>
  <c r="H2512" i="24"/>
  <c r="H2513" i="24"/>
  <c r="H2514" i="24"/>
  <c r="H2515" i="24"/>
  <c r="H2516" i="24"/>
  <c r="H2517" i="24"/>
  <c r="H2518" i="24"/>
  <c r="H2519" i="24"/>
  <c r="H2520" i="24"/>
  <c r="H2521" i="24"/>
  <c r="H2522" i="24"/>
  <c r="H2523" i="24"/>
  <c r="H2524" i="24"/>
  <c r="H2525" i="24"/>
  <c r="H2526" i="24"/>
  <c r="H2527" i="24"/>
  <c r="H2528" i="24"/>
  <c r="H2529" i="24"/>
  <c r="H2530" i="24"/>
  <c r="H2531" i="24"/>
  <c r="H2532" i="24"/>
  <c r="H2533" i="24"/>
  <c r="H2534" i="24"/>
  <c r="H2535" i="24"/>
  <c r="H2536" i="24"/>
  <c r="H2537" i="24"/>
  <c r="H2538" i="24"/>
  <c r="H2540" i="24"/>
  <c r="H2541" i="24"/>
  <c r="H2542" i="24"/>
  <c r="H2543" i="24"/>
  <c r="H2544" i="24"/>
  <c r="H2546" i="24"/>
  <c r="H2547" i="24"/>
  <c r="H2549" i="24"/>
  <c r="H2550" i="24"/>
  <c r="H2552" i="24"/>
  <c r="H2553" i="24"/>
  <c r="H2554" i="24"/>
  <c r="H2555" i="24"/>
  <c r="H2556" i="24"/>
  <c r="H2557" i="24"/>
  <c r="H2558" i="24"/>
  <c r="H2559" i="24"/>
  <c r="H2560" i="24"/>
  <c r="H2561" i="24"/>
  <c r="H2562" i="24"/>
  <c r="H2563" i="24"/>
  <c r="H2564" i="24"/>
  <c r="H2565" i="24"/>
  <c r="H2566" i="24"/>
  <c r="H2567" i="24"/>
  <c r="H2568" i="24"/>
  <c r="H2569" i="24"/>
  <c r="H2570" i="24"/>
  <c r="H2571" i="24"/>
  <c r="H2572" i="24"/>
  <c r="H2573" i="24"/>
  <c r="H2574" i="24"/>
  <c r="H2575" i="24"/>
  <c r="H2576" i="24"/>
  <c r="H2577" i="24"/>
  <c r="H2578" i="24"/>
  <c r="H2579" i="24"/>
  <c r="H2580" i="24"/>
  <c r="H2581" i="24"/>
  <c r="H2582" i="24"/>
  <c r="H2583" i="24"/>
  <c r="H2584" i="24"/>
  <c r="H2585" i="24"/>
  <c r="H2587" i="24"/>
  <c r="H2588" i="24"/>
  <c r="H2589" i="24"/>
  <c r="H2590" i="24"/>
  <c r="H2591" i="24"/>
  <c r="H2592" i="24"/>
  <c r="H2593" i="24"/>
  <c r="H2594" i="24"/>
  <c r="H2595" i="24"/>
  <c r="H2596" i="24"/>
  <c r="H2597" i="24"/>
  <c r="H2598" i="24"/>
  <c r="H2599" i="24"/>
  <c r="H2600" i="24"/>
  <c r="H2601" i="24"/>
  <c r="H2602" i="24"/>
  <c r="H2603" i="24"/>
  <c r="H2604" i="24"/>
  <c r="H2605" i="24"/>
  <c r="H2606" i="24"/>
  <c r="H2607" i="24"/>
  <c r="H2608" i="24"/>
  <c r="H2609" i="24"/>
  <c r="H2610" i="24"/>
  <c r="H2611" i="24"/>
  <c r="H2612" i="24"/>
  <c r="H2613" i="24"/>
  <c r="H2614" i="24"/>
  <c r="H2615" i="24"/>
  <c r="H2616" i="24"/>
  <c r="H2617" i="24"/>
  <c r="H2618" i="24"/>
  <c r="H2619" i="24"/>
  <c r="H2620" i="24"/>
  <c r="H2622" i="24"/>
  <c r="H2623" i="24"/>
  <c r="H2624" i="24"/>
  <c r="H2625" i="24"/>
  <c r="H2626" i="24"/>
  <c r="H2627" i="24"/>
  <c r="H2628" i="24"/>
  <c r="H2629" i="24"/>
  <c r="H2630" i="24"/>
  <c r="H2631" i="24"/>
  <c r="H2632" i="24"/>
  <c r="H2633" i="24"/>
  <c r="H2634" i="24"/>
  <c r="H2635" i="24"/>
  <c r="H2636" i="24"/>
  <c r="H2637" i="24"/>
  <c r="H2638" i="24"/>
  <c r="H2639" i="24"/>
  <c r="H2640" i="24"/>
  <c r="H2641" i="24"/>
  <c r="H2642" i="24"/>
  <c r="H2643" i="24"/>
  <c r="H2644" i="24"/>
  <c r="H2645" i="24"/>
  <c r="H2646" i="24"/>
  <c r="H2647" i="24"/>
  <c r="H2648" i="24"/>
  <c r="H2649" i="24"/>
  <c r="H2650" i="24"/>
  <c r="H2651" i="24"/>
  <c r="H2652" i="24"/>
  <c r="H2653" i="24"/>
  <c r="H2654" i="24"/>
  <c r="H2655" i="24"/>
  <c r="H2656" i="24"/>
  <c r="H2657" i="24"/>
  <c r="H2658" i="24"/>
  <c r="H2659" i="24"/>
  <c r="H2660" i="24"/>
  <c r="H2661" i="24"/>
  <c r="H2662" i="24"/>
  <c r="H2663" i="24"/>
  <c r="H2664" i="24"/>
  <c r="H2665" i="24"/>
  <c r="H2666" i="24"/>
  <c r="H2667" i="24"/>
  <c r="H2668" i="24"/>
  <c r="H2669" i="24"/>
  <c r="H2671" i="24"/>
  <c r="H2672" i="24"/>
  <c r="H2673" i="24"/>
  <c r="H2674" i="24"/>
  <c r="H2675" i="24"/>
  <c r="H2676" i="24"/>
  <c r="H2677" i="24"/>
  <c r="H2678" i="24"/>
  <c r="H2679" i="24"/>
  <c r="H2680" i="24"/>
  <c r="H2681" i="24"/>
  <c r="H2682" i="24"/>
  <c r="H2683" i="24"/>
  <c r="H2684" i="24"/>
  <c r="H2685" i="24"/>
  <c r="H2686" i="24"/>
  <c r="H2687" i="24"/>
  <c r="H2688" i="24"/>
  <c r="H2689" i="24"/>
  <c r="H2690" i="24"/>
  <c r="H2691" i="24"/>
  <c r="H2692" i="24"/>
  <c r="H2693" i="24"/>
  <c r="H2694" i="24"/>
  <c r="H2695" i="24"/>
  <c r="H2696" i="24"/>
  <c r="H2697" i="24"/>
  <c r="H2698" i="24"/>
  <c r="H2699" i="24"/>
  <c r="H2700" i="24"/>
  <c r="H2701" i="24"/>
  <c r="H2702" i="24"/>
  <c r="H2703" i="24"/>
  <c r="H2704" i="24"/>
  <c r="H2705" i="24"/>
  <c r="H2706" i="24"/>
  <c r="H2707" i="24"/>
  <c r="H2708" i="24"/>
  <c r="H2709" i="24"/>
  <c r="H2710" i="24"/>
  <c r="H2711" i="24"/>
  <c r="H2712" i="24"/>
  <c r="H2713" i="24"/>
  <c r="H2714" i="24"/>
  <c r="H2715" i="24"/>
  <c r="H2716" i="24"/>
  <c r="H2717" i="24"/>
  <c r="H2718" i="24"/>
  <c r="H2719" i="24"/>
  <c r="H2720" i="24"/>
  <c r="H2721" i="24"/>
  <c r="H2722" i="24"/>
  <c r="H2723" i="24"/>
  <c r="H2724" i="24"/>
  <c r="H2725" i="24"/>
  <c r="H2726" i="24"/>
  <c r="H2727" i="24"/>
  <c r="H2728" i="24"/>
  <c r="H2729" i="24"/>
  <c r="H2730" i="24"/>
  <c r="H2731" i="24"/>
  <c r="H2732" i="24"/>
  <c r="H2733" i="24"/>
  <c r="H2734" i="24"/>
  <c r="H2735" i="24"/>
  <c r="H2736" i="24"/>
  <c r="H2737" i="24"/>
  <c r="H2738" i="24"/>
  <c r="H2739" i="24"/>
  <c r="H2740" i="24"/>
  <c r="H2741" i="24"/>
  <c r="H2742" i="24"/>
  <c r="H2743" i="24"/>
  <c r="H2744" i="24"/>
  <c r="H2745" i="24"/>
  <c r="H2746" i="24"/>
  <c r="H2747" i="24"/>
  <c r="H2748" i="24"/>
  <c r="H2749" i="24"/>
  <c r="H2750" i="24"/>
  <c r="H2751" i="24"/>
  <c r="H2752" i="24"/>
  <c r="H2753" i="24"/>
  <c r="H2754" i="24"/>
  <c r="H2755" i="24"/>
  <c r="H2756" i="24"/>
  <c r="H2757" i="24"/>
  <c r="H2758" i="24"/>
  <c r="H2759" i="24"/>
  <c r="H2760" i="24"/>
  <c r="H2761" i="24"/>
  <c r="H2762" i="24"/>
  <c r="H2763" i="24"/>
  <c r="H2764" i="24"/>
  <c r="H2765" i="24"/>
  <c r="H2766" i="24"/>
  <c r="H2767" i="24"/>
  <c r="H2768" i="24"/>
  <c r="H2769" i="24"/>
  <c r="H2770" i="24"/>
  <c r="H2771" i="24"/>
  <c r="H2772" i="24"/>
  <c r="H2773" i="24"/>
  <c r="H2774" i="24"/>
  <c r="H2775" i="24"/>
  <c r="H2776" i="24"/>
  <c r="H2777" i="24"/>
  <c r="H2778" i="24"/>
  <c r="H2779" i="24"/>
  <c r="H2780" i="24"/>
  <c r="H2781" i="24"/>
  <c r="H2782" i="24"/>
  <c r="H2783" i="24"/>
  <c r="H2784" i="24"/>
  <c r="H2785" i="24"/>
  <c r="H2786" i="24"/>
  <c r="H2787" i="24"/>
  <c r="H2788" i="24"/>
  <c r="H2789" i="24"/>
  <c r="H2790" i="24"/>
  <c r="H2791" i="24"/>
  <c r="H2792" i="24"/>
  <c r="H2793" i="24"/>
  <c r="H2794" i="24"/>
  <c r="H2795" i="24"/>
  <c r="H2796" i="24"/>
  <c r="H2797" i="24"/>
  <c r="H2798" i="24"/>
  <c r="H2799" i="24"/>
  <c r="H2800" i="24"/>
  <c r="H2801" i="24"/>
  <c r="H2802" i="24"/>
  <c r="H2803" i="24"/>
  <c r="H2804" i="24"/>
  <c r="H2805" i="24"/>
  <c r="H2806" i="24"/>
  <c r="H2807" i="24"/>
  <c r="H2808" i="24"/>
  <c r="H2809" i="24"/>
  <c r="H2810" i="24"/>
  <c r="H2811" i="24"/>
  <c r="H2812" i="24"/>
  <c r="H2813" i="24"/>
  <c r="H2814" i="24"/>
  <c r="H2815" i="24"/>
  <c r="H2816" i="24"/>
  <c r="H2817" i="24"/>
  <c r="H2819" i="24"/>
  <c r="H2820" i="24"/>
  <c r="H2821" i="24"/>
  <c r="H2822" i="24"/>
  <c r="H2823" i="24"/>
  <c r="H2824" i="24"/>
  <c r="H2825" i="24"/>
  <c r="H2826" i="24"/>
  <c r="H2827" i="24"/>
  <c r="H2828" i="24"/>
  <c r="H2829" i="24"/>
  <c r="H2830" i="24"/>
  <c r="H2831" i="24"/>
  <c r="H2832" i="24"/>
  <c r="H2833" i="24"/>
  <c r="H2834" i="24"/>
  <c r="H2835" i="24"/>
  <c r="H2836" i="24"/>
  <c r="H2837" i="24"/>
  <c r="H2838" i="24"/>
  <c r="H2839" i="24"/>
  <c r="H2840" i="24"/>
  <c r="H2841" i="24"/>
  <c r="H2842" i="24"/>
  <c r="H2843" i="24"/>
  <c r="H2844" i="24"/>
  <c r="H2845" i="24"/>
  <c r="H2846" i="24"/>
  <c r="H2847" i="24"/>
  <c r="H2848" i="24"/>
  <c r="H2849" i="24"/>
  <c r="H2850" i="24"/>
  <c r="H2851" i="24"/>
  <c r="H2852" i="24"/>
  <c r="H2854" i="24"/>
  <c r="H2855" i="24"/>
  <c r="H2856" i="24"/>
  <c r="H2857" i="24"/>
  <c r="H2858" i="24"/>
  <c r="H2859" i="24"/>
  <c r="H2860" i="24"/>
  <c r="H2861" i="24"/>
  <c r="H2862" i="24"/>
  <c r="H2863" i="24"/>
  <c r="H2864" i="24"/>
  <c r="H2865" i="24"/>
  <c r="H2866" i="24"/>
  <c r="H2867" i="24"/>
  <c r="H2868" i="24"/>
  <c r="H2869" i="24"/>
  <c r="H2870" i="24"/>
  <c r="H2871" i="24"/>
  <c r="H2872" i="24"/>
  <c r="H2873" i="24"/>
  <c r="H2874" i="24"/>
  <c r="H2875" i="24"/>
  <c r="H2876" i="24"/>
  <c r="H2877" i="24"/>
  <c r="H2878" i="24"/>
  <c r="H2879" i="24"/>
  <c r="H2880" i="24"/>
  <c r="H2881" i="24"/>
  <c r="H2882" i="24"/>
  <c r="H2883" i="24"/>
  <c r="H2884" i="24"/>
  <c r="H2885" i="24"/>
  <c r="H2886" i="24"/>
  <c r="H2887" i="24"/>
  <c r="H2889" i="24"/>
  <c r="H2890" i="24"/>
  <c r="H2891" i="24"/>
  <c r="H2892" i="24"/>
  <c r="H2893" i="24"/>
  <c r="H2894" i="24"/>
  <c r="H2895" i="24"/>
  <c r="H2896" i="24"/>
  <c r="H2897" i="24"/>
  <c r="H2898" i="24"/>
  <c r="H2899" i="24"/>
  <c r="H2900" i="24"/>
  <c r="H2901" i="24"/>
  <c r="H2902" i="24"/>
  <c r="H2903" i="24"/>
  <c r="H2904" i="24"/>
  <c r="H2905" i="24"/>
  <c r="H2906" i="24"/>
  <c r="H2907" i="24"/>
  <c r="H2908" i="24"/>
  <c r="H2909" i="24"/>
  <c r="H2910" i="24"/>
  <c r="H2911" i="24"/>
  <c r="H2912" i="24"/>
  <c r="H2913" i="24"/>
  <c r="H2914" i="24"/>
  <c r="H2915" i="24"/>
  <c r="H2916" i="24"/>
  <c r="H2917" i="24"/>
  <c r="H2918" i="24"/>
  <c r="H2919" i="24"/>
  <c r="H2920" i="24"/>
  <c r="H2921" i="24"/>
  <c r="H2922" i="24"/>
  <c r="H2924" i="24"/>
  <c r="H2925" i="24"/>
  <c r="H2926" i="24"/>
  <c r="H2927" i="24"/>
  <c r="H2928" i="24"/>
  <c r="H2929" i="24"/>
  <c r="H2930" i="24"/>
  <c r="H2931" i="24"/>
  <c r="H2932" i="24"/>
  <c r="H2933" i="24"/>
  <c r="H2934" i="24"/>
  <c r="H2935" i="24"/>
  <c r="H2936" i="24"/>
  <c r="H2937" i="24"/>
  <c r="H2938" i="24"/>
  <c r="H2939" i="24"/>
  <c r="H2940" i="24"/>
  <c r="H2941" i="24"/>
  <c r="H2942" i="24"/>
  <c r="H2943" i="24"/>
  <c r="H2944" i="24"/>
  <c r="H2945" i="24"/>
  <c r="H2946" i="24"/>
  <c r="H2947" i="24"/>
  <c r="H2948" i="24"/>
  <c r="H2949" i="24"/>
  <c r="H2950" i="24"/>
  <c r="H2951" i="24"/>
  <c r="H2952" i="24"/>
  <c r="H2953" i="24"/>
  <c r="H2954" i="24"/>
  <c r="H2955" i="24"/>
  <c r="H2956" i="24"/>
  <c r="H2957" i="24"/>
  <c r="H2959" i="24"/>
  <c r="H2960" i="24"/>
  <c r="H2961" i="24"/>
  <c r="H2962" i="24"/>
  <c r="H2963" i="24"/>
  <c r="H2964" i="24"/>
  <c r="H2965" i="24"/>
  <c r="H2966" i="24"/>
  <c r="H2967" i="24"/>
  <c r="H2968" i="24"/>
  <c r="H2969" i="24"/>
  <c r="H2970" i="24"/>
  <c r="H2971" i="24"/>
  <c r="H2972" i="24"/>
  <c r="H2973" i="24"/>
  <c r="H2974" i="24"/>
  <c r="H2975" i="24"/>
  <c r="H2976" i="24"/>
  <c r="H2977" i="24"/>
  <c r="H2978" i="24"/>
  <c r="H2979" i="24"/>
  <c r="H2980" i="24"/>
  <c r="H2981" i="24"/>
  <c r="H2982" i="24"/>
  <c r="H2983" i="24"/>
  <c r="H2984" i="24"/>
  <c r="H2985" i="24"/>
  <c r="H2986" i="24"/>
  <c r="H2987" i="24"/>
  <c r="H2988" i="24"/>
  <c r="H2989" i="24"/>
  <c r="H2990" i="24"/>
  <c r="H2991" i="24"/>
  <c r="H2992" i="24"/>
  <c r="H2994" i="24"/>
  <c r="H2995" i="24"/>
  <c r="H2996" i="24"/>
  <c r="H2997" i="24"/>
  <c r="H2998" i="24"/>
  <c r="H2999" i="24"/>
  <c r="H3000" i="24"/>
  <c r="H3001" i="24"/>
  <c r="H3002" i="24"/>
  <c r="H3003" i="24"/>
  <c r="H3004" i="24"/>
  <c r="H3005" i="24"/>
  <c r="H3006" i="24"/>
  <c r="H3007" i="24"/>
  <c r="H3008" i="24"/>
  <c r="H3009" i="24"/>
  <c r="H3010" i="24"/>
  <c r="H3011" i="24"/>
  <c r="H3012" i="24"/>
  <c r="H3013" i="24"/>
  <c r="H3014" i="24"/>
  <c r="H3015" i="24"/>
  <c r="H3016" i="24"/>
  <c r="H3017" i="24"/>
  <c r="H3018" i="24"/>
  <c r="H3019" i="24"/>
  <c r="H3020" i="24"/>
  <c r="H3021" i="24"/>
  <c r="H3022" i="24"/>
  <c r="H3023" i="24"/>
  <c r="H3024" i="24"/>
  <c r="H3025" i="24"/>
  <c r="H3026" i="24"/>
  <c r="H3027" i="24"/>
  <c r="H3029" i="24"/>
  <c r="H3030" i="24"/>
  <c r="H3031" i="24"/>
  <c r="H3032" i="24"/>
  <c r="H3033" i="24"/>
  <c r="H3034" i="24"/>
  <c r="H3035" i="24"/>
  <c r="H3036" i="24"/>
  <c r="H3037" i="24"/>
  <c r="H3038" i="24"/>
  <c r="H3039" i="24"/>
  <c r="H3040" i="24"/>
  <c r="H3041" i="24"/>
  <c r="H3042" i="24"/>
  <c r="H3043" i="24"/>
  <c r="H3044" i="24"/>
  <c r="H3045" i="24"/>
  <c r="H3046" i="24"/>
  <c r="H3047" i="24"/>
  <c r="H3048" i="24"/>
  <c r="H3049" i="24"/>
  <c r="H3050" i="24"/>
  <c r="H3051" i="24"/>
  <c r="H3052" i="24"/>
  <c r="H3053" i="24"/>
  <c r="H3054" i="24"/>
  <c r="H3055" i="24"/>
  <c r="H3056" i="24"/>
  <c r="H3057" i="24"/>
  <c r="H3058" i="24"/>
  <c r="H3059" i="24"/>
  <c r="H3060" i="24"/>
  <c r="H3061" i="24"/>
  <c r="H3062" i="24"/>
  <c r="H3063" i="24"/>
  <c r="H3064" i="24"/>
  <c r="H3065" i="24"/>
  <c r="H3066" i="24"/>
  <c r="H3067" i="24"/>
  <c r="H3068" i="24"/>
  <c r="H3069" i="24"/>
  <c r="H3070" i="24"/>
  <c r="H3071" i="24"/>
  <c r="H3072" i="24"/>
  <c r="H3073" i="24"/>
  <c r="H3074" i="24"/>
  <c r="H3075" i="24"/>
  <c r="H3076" i="24"/>
  <c r="H3077" i="24"/>
  <c r="H3078" i="24"/>
  <c r="H3079" i="24"/>
  <c r="H3081" i="24"/>
  <c r="H3082" i="24"/>
  <c r="H3083" i="24"/>
  <c r="H3084" i="24"/>
  <c r="H3085" i="24"/>
  <c r="H3086" i="24"/>
  <c r="H3087" i="24"/>
  <c r="H3088" i="24"/>
  <c r="H3089" i="24"/>
  <c r="H3090" i="24"/>
  <c r="H3091" i="24"/>
  <c r="H3092" i="24"/>
  <c r="H3093" i="24"/>
  <c r="H3094" i="24"/>
  <c r="H3095" i="24"/>
  <c r="H3096" i="24"/>
  <c r="H3097" i="24"/>
  <c r="H3098" i="24"/>
  <c r="H3099" i="24"/>
  <c r="H3100" i="24"/>
  <c r="H3101" i="24"/>
  <c r="H3102" i="24"/>
  <c r="H3103" i="24"/>
  <c r="H3104" i="24"/>
  <c r="H3105" i="24"/>
  <c r="H3106" i="24"/>
  <c r="H3107" i="24"/>
  <c r="H3108" i="24"/>
  <c r="H3109" i="24"/>
  <c r="H3110" i="24"/>
  <c r="H3111" i="24"/>
  <c r="H3112" i="24"/>
  <c r="H3113" i="24"/>
  <c r="H3114" i="24"/>
  <c r="H3116" i="24"/>
  <c r="H3117" i="24"/>
  <c r="H3118" i="24"/>
  <c r="H3119" i="24"/>
  <c r="H3120" i="24"/>
  <c r="H3121" i="24"/>
  <c r="H3122" i="24"/>
  <c r="H3123" i="24"/>
  <c r="H3124" i="24"/>
  <c r="H3125" i="24"/>
  <c r="H3126" i="24"/>
  <c r="H3127" i="24"/>
  <c r="H3128" i="24"/>
  <c r="H3129" i="24"/>
  <c r="H3130" i="24"/>
  <c r="H3131" i="24"/>
  <c r="H3132" i="24"/>
  <c r="H3133" i="24"/>
  <c r="H3134" i="24"/>
  <c r="H3135" i="24"/>
  <c r="H3136" i="24"/>
  <c r="H3137" i="24"/>
  <c r="H3138" i="24"/>
  <c r="H3139" i="24"/>
  <c r="H3140" i="24"/>
  <c r="H3141" i="24"/>
  <c r="H3142" i="24"/>
  <c r="H3143" i="24"/>
  <c r="H3144" i="24"/>
  <c r="H3145" i="24"/>
  <c r="H3146" i="24"/>
  <c r="H3147" i="24"/>
  <c r="H3148" i="24"/>
  <c r="H3149" i="24"/>
  <c r="H3151" i="24"/>
  <c r="H3152" i="24"/>
  <c r="H3153" i="24"/>
  <c r="H3154" i="24"/>
  <c r="H3155" i="24"/>
  <c r="H3156" i="24"/>
  <c r="H3157" i="24"/>
  <c r="H3158" i="24"/>
  <c r="H3159" i="24"/>
  <c r="H3160" i="24"/>
  <c r="H3161" i="24"/>
  <c r="H3162" i="24"/>
  <c r="H3163" i="24"/>
  <c r="H3164" i="24"/>
  <c r="H3165" i="24"/>
  <c r="H3166" i="24"/>
  <c r="H3167" i="24"/>
  <c r="H3168" i="24"/>
  <c r="H3169" i="24"/>
  <c r="H3170" i="24"/>
  <c r="H3171" i="24"/>
  <c r="H3172" i="24"/>
  <c r="H3173" i="24"/>
  <c r="H3174" i="24"/>
  <c r="H3175" i="24"/>
  <c r="H3176" i="24"/>
  <c r="H3177" i="24"/>
  <c r="H3178" i="24"/>
  <c r="H3179" i="24"/>
  <c r="H3180" i="24"/>
  <c r="H3181" i="24"/>
  <c r="H3182" i="24"/>
  <c r="H3183" i="24"/>
  <c r="H3184" i="24"/>
  <c r="H3186" i="24"/>
  <c r="H3187" i="24"/>
  <c r="H3188" i="24"/>
  <c r="H3189" i="24"/>
  <c r="H3190" i="24"/>
  <c r="H3191" i="24"/>
  <c r="H3192" i="24"/>
  <c r="H3193" i="24"/>
  <c r="H3194" i="24"/>
  <c r="H3195" i="24"/>
  <c r="H3196" i="24"/>
  <c r="H3197" i="24"/>
  <c r="H3198" i="24"/>
  <c r="H3199" i="24"/>
  <c r="H3200" i="24"/>
  <c r="H3201" i="24"/>
  <c r="H3202" i="24"/>
  <c r="H3203" i="24"/>
  <c r="H3204" i="24"/>
  <c r="H3205" i="24"/>
  <c r="H3206" i="24"/>
  <c r="H3207" i="24"/>
  <c r="H3208" i="24"/>
  <c r="H3209" i="24"/>
  <c r="H3210" i="24"/>
  <c r="H3211" i="24"/>
  <c r="H3212" i="24"/>
  <c r="H3213" i="24"/>
  <c r="H3214" i="24"/>
  <c r="H3215" i="24"/>
  <c r="H3216" i="24"/>
  <c r="H3217" i="24"/>
  <c r="H3218" i="24"/>
  <c r="H3219" i="24"/>
  <c r="H3221" i="24"/>
  <c r="H3222" i="24"/>
  <c r="H3223" i="24"/>
  <c r="H3224" i="24"/>
  <c r="H3225" i="24"/>
  <c r="H3226" i="24"/>
  <c r="H3227" i="24"/>
  <c r="H3228" i="24"/>
  <c r="H3229" i="24"/>
  <c r="H3230" i="24"/>
  <c r="H3231" i="24"/>
  <c r="H3232" i="24"/>
  <c r="H3233" i="24"/>
  <c r="H3234" i="24"/>
  <c r="H3235" i="24"/>
  <c r="H3236" i="24"/>
  <c r="H3237" i="24"/>
  <c r="H3238" i="24"/>
  <c r="H3239" i="24"/>
  <c r="H3240" i="24"/>
  <c r="H3241" i="24"/>
  <c r="H3242" i="24"/>
  <c r="H3243" i="24"/>
  <c r="H3244" i="24"/>
  <c r="H3245" i="24"/>
  <c r="H3246" i="24"/>
  <c r="H3247" i="24"/>
  <c r="H3248" i="24"/>
  <c r="H3249" i="24"/>
  <c r="H3250" i="24"/>
  <c r="H3251" i="24"/>
  <c r="H3252" i="24"/>
  <c r="H3253" i="24"/>
  <c r="H3254" i="24"/>
  <c r="H3256" i="24"/>
  <c r="H3257" i="24"/>
  <c r="H3258" i="24"/>
  <c r="H3259" i="24"/>
  <c r="H3260" i="24"/>
  <c r="H3261" i="24"/>
  <c r="H3262" i="24"/>
  <c r="H3263" i="24"/>
  <c r="H3264" i="24"/>
  <c r="H3265" i="24"/>
  <c r="H3266" i="24"/>
  <c r="H3267" i="24"/>
  <c r="H3268" i="24"/>
  <c r="H3269" i="24"/>
  <c r="H3270" i="24"/>
  <c r="H3271" i="24"/>
  <c r="H3272" i="24"/>
  <c r="H3273" i="24"/>
  <c r="H3274" i="24"/>
  <c r="H3275" i="24"/>
  <c r="H3276" i="24"/>
  <c r="H3277" i="24"/>
  <c r="H3278" i="24"/>
  <c r="H3279" i="24"/>
  <c r="H3280" i="24"/>
  <c r="H3281" i="24"/>
  <c r="H3282" i="24"/>
  <c r="H3283" i="24"/>
  <c r="H3284" i="24"/>
  <c r="H3285" i="24"/>
  <c r="H3286" i="24"/>
  <c r="H3287" i="24"/>
  <c r="H3288" i="24"/>
  <c r="H3289" i="24"/>
  <c r="H3291" i="24"/>
  <c r="H3292" i="24"/>
  <c r="H3293" i="24"/>
  <c r="H3294" i="24"/>
  <c r="H3295" i="24"/>
  <c r="H3296" i="24"/>
  <c r="H3297" i="24"/>
  <c r="H3298" i="24"/>
  <c r="H3299" i="24"/>
  <c r="H3300" i="24"/>
  <c r="H3301" i="24"/>
  <c r="H3302" i="24"/>
  <c r="H3303" i="24"/>
  <c r="H3304" i="24"/>
  <c r="H3305" i="24"/>
  <c r="H3306" i="24"/>
  <c r="H3307" i="24"/>
  <c r="H3308" i="24"/>
  <c r="H3309" i="24"/>
  <c r="H3310" i="24"/>
  <c r="H3311" i="24"/>
  <c r="H3312" i="24"/>
  <c r="H3313" i="24"/>
  <c r="H3314" i="24"/>
  <c r="H3315" i="24"/>
  <c r="H3316" i="24"/>
  <c r="H3317" i="24"/>
  <c r="H3318" i="24"/>
  <c r="H3319" i="24"/>
  <c r="H3320" i="24"/>
  <c r="H3321" i="24"/>
  <c r="H3322" i="24"/>
  <c r="H3323" i="24"/>
  <c r="H3324" i="24"/>
  <c r="H3326" i="24"/>
  <c r="H3327" i="24"/>
  <c r="H3328" i="24"/>
  <c r="H3329" i="24"/>
  <c r="H3330" i="24"/>
  <c r="H3331" i="24"/>
  <c r="H3332" i="24"/>
  <c r="H3333" i="24"/>
  <c r="H3334" i="24"/>
  <c r="H3335" i="24"/>
  <c r="H3336" i="24"/>
  <c r="H3337" i="24"/>
  <c r="H3338" i="24"/>
  <c r="H3339" i="24"/>
  <c r="H3340" i="24"/>
  <c r="H3341" i="24"/>
  <c r="H3342" i="24"/>
  <c r="H3343" i="24"/>
  <c r="H3344" i="24"/>
  <c r="H3345" i="24"/>
  <c r="H3346" i="24"/>
  <c r="H3347" i="24"/>
  <c r="H3348" i="24"/>
  <c r="H3349" i="24"/>
  <c r="H3350" i="24"/>
  <c r="H3351" i="24"/>
  <c r="H3352" i="24"/>
  <c r="H3353" i="24"/>
  <c r="H3354" i="24"/>
  <c r="H3355" i="24"/>
  <c r="H3356" i="24"/>
  <c r="H3357" i="24"/>
  <c r="H3358" i="24"/>
  <c r="H3359" i="24"/>
  <c r="H3361" i="24"/>
  <c r="H3362" i="24"/>
  <c r="H3363" i="24"/>
  <c r="H3364" i="24"/>
  <c r="H3365" i="24"/>
  <c r="H3366" i="24"/>
  <c r="H3367" i="24"/>
  <c r="H3368" i="24"/>
  <c r="H3369" i="24"/>
  <c r="H3370" i="24"/>
  <c r="H3371" i="24"/>
  <c r="H3372" i="24"/>
  <c r="H3373" i="24"/>
  <c r="H3374" i="24"/>
  <c r="H3375" i="24"/>
  <c r="H3376" i="24"/>
  <c r="H3377" i="24"/>
  <c r="H3378" i="24"/>
  <c r="H3379" i="24"/>
  <c r="H3380" i="24"/>
  <c r="H3381" i="24"/>
  <c r="H3382" i="24"/>
  <c r="H3383" i="24"/>
  <c r="H3384" i="24"/>
  <c r="H3385" i="24"/>
  <c r="H3386" i="24"/>
  <c r="H3387" i="24"/>
  <c r="H3388" i="24"/>
  <c r="H3389" i="24"/>
  <c r="H3390" i="24"/>
  <c r="H3391" i="24"/>
  <c r="H3392" i="24"/>
  <c r="H3393" i="24"/>
  <c r="H3394" i="24"/>
  <c r="H3396" i="24"/>
  <c r="H3397" i="24"/>
  <c r="H3398" i="24"/>
  <c r="H3399" i="24"/>
  <c r="H3400" i="24"/>
  <c r="H3401" i="24"/>
  <c r="H3402" i="24"/>
  <c r="H3403" i="24"/>
  <c r="H3404" i="24"/>
  <c r="H3405" i="24"/>
  <c r="H3406" i="24"/>
  <c r="H3407" i="24"/>
  <c r="H3408" i="24"/>
  <c r="H3409" i="24"/>
  <c r="H3410" i="24"/>
  <c r="H3411" i="24"/>
  <c r="H3412" i="24"/>
  <c r="H3413" i="24"/>
  <c r="H3414" i="24"/>
  <c r="H3415" i="24"/>
  <c r="H3416" i="24"/>
  <c r="H3417" i="24"/>
  <c r="H3418" i="24"/>
  <c r="H3419" i="24"/>
  <c r="H3420" i="24"/>
  <c r="H3421" i="24"/>
  <c r="H3422" i="24"/>
  <c r="H3423" i="24"/>
  <c r="H3424" i="24"/>
  <c r="H3425" i="24"/>
  <c r="H3426" i="24"/>
  <c r="H3427" i="24"/>
  <c r="H3428" i="24"/>
  <c r="H3429" i="24"/>
  <c r="H3431" i="24"/>
  <c r="H3432" i="24"/>
  <c r="H3433" i="24"/>
  <c r="H3434" i="24"/>
  <c r="H3435" i="24"/>
  <c r="H3436" i="24"/>
  <c r="H3437" i="24"/>
  <c r="H3438" i="24"/>
  <c r="H3439" i="24"/>
  <c r="H3440" i="24"/>
  <c r="H3441" i="24"/>
  <c r="H3442" i="24"/>
  <c r="H3443" i="24"/>
  <c r="H3444" i="24"/>
  <c r="H3445" i="24"/>
  <c r="H3446" i="24"/>
  <c r="H3447" i="24"/>
  <c r="H3448" i="24"/>
  <c r="H3449" i="24"/>
  <c r="H3450" i="24"/>
  <c r="H3451" i="24"/>
  <c r="H3452" i="24"/>
  <c r="H3453" i="24"/>
  <c r="H3454" i="24"/>
  <c r="H3455" i="24"/>
  <c r="H3456" i="24"/>
  <c r="H3457" i="24"/>
  <c r="H3458" i="24"/>
  <c r="H3459" i="24"/>
  <c r="H3460" i="24"/>
  <c r="H3461" i="24"/>
  <c r="H3462" i="24"/>
  <c r="H3463" i="24"/>
  <c r="H3464" i="24"/>
  <c r="H3466" i="24"/>
  <c r="H3467" i="24"/>
  <c r="H3468" i="24"/>
  <c r="H3469" i="24"/>
  <c r="H3470" i="24"/>
  <c r="H3471" i="24"/>
  <c r="H3472" i="24"/>
  <c r="H3473" i="24"/>
  <c r="H3474" i="24"/>
  <c r="H3475" i="24"/>
  <c r="H3476" i="24"/>
  <c r="H3477" i="24"/>
  <c r="H3478" i="24"/>
  <c r="H3479" i="24"/>
  <c r="H3480" i="24"/>
  <c r="H3481" i="24"/>
  <c r="H3482" i="24"/>
  <c r="H3483" i="24"/>
  <c r="H3484" i="24"/>
  <c r="H3485" i="24"/>
  <c r="H3486" i="24"/>
  <c r="H3487" i="24"/>
  <c r="H3488" i="24"/>
  <c r="H3489" i="24"/>
  <c r="H3490" i="24"/>
  <c r="H3491" i="24"/>
  <c r="H3492" i="24"/>
  <c r="H3493" i="24"/>
  <c r="H3494" i="24"/>
  <c r="H3495" i="24"/>
  <c r="H3496" i="24"/>
  <c r="H3497" i="24"/>
  <c r="H3498" i="24"/>
  <c r="H3499" i="24"/>
  <c r="H3501" i="24"/>
  <c r="H3502" i="24"/>
  <c r="H3503" i="24"/>
  <c r="H3504" i="24"/>
  <c r="H3505" i="24"/>
  <c r="H3506" i="24"/>
  <c r="H3507" i="24"/>
  <c r="H3508" i="24"/>
  <c r="H3509" i="24"/>
  <c r="H3510" i="24"/>
  <c r="H3511" i="24"/>
  <c r="H3512" i="24"/>
  <c r="H3513" i="24"/>
  <c r="H3514" i="24"/>
  <c r="H3515" i="24"/>
  <c r="H3516" i="24"/>
  <c r="H3517" i="24"/>
  <c r="H3518" i="24"/>
  <c r="H3519" i="24"/>
  <c r="H3520" i="24"/>
  <c r="H3521" i="24"/>
  <c r="H3522" i="24"/>
  <c r="H3523" i="24"/>
  <c r="H3524" i="24"/>
  <c r="H3525" i="24"/>
  <c r="H3526" i="24"/>
  <c r="H3527" i="24"/>
  <c r="H3528" i="24"/>
  <c r="H3529" i="24"/>
  <c r="H3530" i="24"/>
  <c r="H3531" i="24"/>
  <c r="H3532" i="24"/>
  <c r="H3533" i="24"/>
  <c r="H3534" i="24"/>
  <c r="H3536" i="24"/>
  <c r="H3537" i="24"/>
  <c r="H3538" i="24"/>
  <c r="H3539" i="24"/>
  <c r="H3540" i="24"/>
  <c r="H3541" i="24"/>
  <c r="H3542" i="24"/>
  <c r="H3543" i="24"/>
  <c r="H3544" i="24"/>
  <c r="H3545" i="24"/>
  <c r="H3546" i="24"/>
  <c r="H3547" i="24"/>
  <c r="H3548" i="24"/>
  <c r="H3549" i="24"/>
  <c r="H3550" i="24"/>
  <c r="H3551" i="24"/>
  <c r="H3552" i="24"/>
  <c r="H3553" i="24"/>
  <c r="H3554" i="24"/>
  <c r="H3555" i="24"/>
  <c r="H3556" i="24"/>
  <c r="H3557" i="24"/>
  <c r="H3558" i="24"/>
  <c r="H3559" i="24"/>
  <c r="H3560" i="24"/>
  <c r="H3561" i="24"/>
  <c r="H3562" i="24"/>
  <c r="H3563" i="24"/>
  <c r="H3564" i="24"/>
  <c r="H3565" i="24"/>
  <c r="H3566" i="24"/>
  <c r="H3567" i="24"/>
  <c r="H3568" i="24"/>
  <c r="H3569" i="24"/>
  <c r="H3571" i="24"/>
  <c r="H3572" i="24"/>
  <c r="H3573" i="24"/>
  <c r="H3574" i="24"/>
  <c r="H3575" i="24"/>
  <c r="H3576" i="24"/>
  <c r="H3577" i="24"/>
  <c r="H3578" i="24"/>
  <c r="H3579" i="24"/>
  <c r="H3580" i="24"/>
  <c r="H3581" i="24"/>
  <c r="H3582" i="24"/>
  <c r="H3583" i="24"/>
  <c r="H3584" i="24"/>
  <c r="H3585" i="24"/>
  <c r="H3586" i="24"/>
  <c r="H3587" i="24"/>
  <c r="H3588" i="24"/>
  <c r="H3589" i="24"/>
  <c r="H3590" i="24"/>
  <c r="H3591" i="24"/>
  <c r="H3592" i="24"/>
  <c r="H3593" i="24"/>
  <c r="H3594" i="24"/>
  <c r="H3595" i="24"/>
  <c r="H3596" i="24"/>
  <c r="H3597" i="24"/>
  <c r="H3598" i="24"/>
  <c r="H3599" i="24"/>
  <c r="H3600" i="24"/>
  <c r="H3601" i="24"/>
  <c r="H3602" i="24"/>
  <c r="H3603" i="24"/>
  <c r="H3604" i="24"/>
  <c r="H3606" i="24"/>
  <c r="H3607" i="24"/>
  <c r="H3608" i="24"/>
  <c r="H3609" i="24"/>
  <c r="H3610" i="24"/>
  <c r="H3611" i="24"/>
  <c r="H3612" i="24"/>
  <c r="H3613" i="24"/>
  <c r="H3614" i="24"/>
  <c r="H3615" i="24"/>
  <c r="H3616" i="24"/>
  <c r="H3617" i="24"/>
  <c r="H3618" i="24"/>
  <c r="H3619" i="24"/>
  <c r="H3620" i="24"/>
  <c r="H3621" i="24"/>
  <c r="H3622" i="24"/>
  <c r="H3623" i="24"/>
  <c r="H3624" i="24"/>
  <c r="H3625" i="24"/>
  <c r="H3626" i="24"/>
  <c r="H3627" i="24"/>
  <c r="H3628" i="24"/>
  <c r="H3629" i="24"/>
  <c r="H3630" i="24"/>
  <c r="H3631" i="24"/>
  <c r="H3632" i="24"/>
  <c r="H3633" i="24"/>
  <c r="H3634" i="24"/>
  <c r="H3635" i="24"/>
  <c r="H3636" i="24"/>
  <c r="H3637" i="24"/>
  <c r="H3638" i="24"/>
  <c r="H3639" i="24"/>
  <c r="H3641" i="24"/>
  <c r="H3642" i="24"/>
  <c r="H3643" i="24"/>
  <c r="H3644" i="24"/>
  <c r="H3645" i="24"/>
  <c r="H3646" i="24"/>
  <c r="H3647" i="24"/>
  <c r="H3648" i="24"/>
  <c r="H3649" i="24"/>
  <c r="H3650" i="24"/>
  <c r="H3651" i="24"/>
  <c r="H3652" i="24"/>
  <c r="H3653" i="24"/>
  <c r="H3654" i="24"/>
  <c r="H3655" i="24"/>
  <c r="H3656" i="24"/>
  <c r="H3657" i="24"/>
  <c r="H3658" i="24"/>
  <c r="H3659" i="24"/>
  <c r="H3660" i="24"/>
  <c r="H3661" i="24"/>
  <c r="H3662" i="24"/>
  <c r="H3663" i="24"/>
  <c r="H3664" i="24"/>
  <c r="H3665" i="24"/>
  <c r="H3666" i="24"/>
  <c r="H3667" i="24"/>
  <c r="H3668" i="24"/>
  <c r="H3669" i="24"/>
  <c r="H3670" i="24"/>
  <c r="H3671" i="24"/>
  <c r="H3672" i="24"/>
  <c r="H3673" i="24"/>
  <c r="H3674" i="24"/>
  <c r="H3675" i="24"/>
  <c r="H3676" i="24"/>
  <c r="H3677" i="24"/>
  <c r="H3678" i="24"/>
  <c r="H3679" i="24"/>
  <c r="H3680" i="24"/>
  <c r="H3681" i="24"/>
  <c r="H3682" i="24"/>
  <c r="H3683" i="24"/>
  <c r="H3684" i="24"/>
  <c r="H3685" i="24"/>
  <c r="H3686" i="24"/>
  <c r="H3687" i="24"/>
  <c r="H3688" i="24"/>
  <c r="H3689" i="24"/>
  <c r="H3690" i="24"/>
  <c r="H3691" i="24"/>
  <c r="H3692" i="24"/>
  <c r="H3693" i="24"/>
  <c r="H3694" i="24"/>
  <c r="H3695" i="24"/>
  <c r="H3696" i="24"/>
  <c r="H3697" i="24"/>
  <c r="H3698" i="24"/>
  <c r="H3699" i="24"/>
  <c r="H3700" i="24"/>
  <c r="H3701" i="24"/>
  <c r="H3702" i="24"/>
  <c r="H3703" i="24"/>
  <c r="H3704" i="24"/>
  <c r="H3705" i="24"/>
  <c r="H3706" i="24"/>
  <c r="H3707" i="24"/>
  <c r="H3709" i="24"/>
  <c r="H3710" i="24"/>
  <c r="H3711" i="24"/>
  <c r="H3712" i="24"/>
  <c r="H3713" i="24"/>
  <c r="H3714" i="24"/>
  <c r="H3715" i="24"/>
  <c r="H3716" i="24"/>
  <c r="H3717" i="24"/>
  <c r="H3718" i="24"/>
  <c r="H3719" i="24"/>
  <c r="H3720" i="24"/>
  <c r="H3721" i="24"/>
  <c r="H3722" i="24"/>
  <c r="H3723" i="24"/>
  <c r="H3724" i="24"/>
  <c r="H3725" i="24"/>
  <c r="H3726" i="24"/>
  <c r="H3727" i="24"/>
  <c r="H3728" i="24"/>
  <c r="H3729" i="24"/>
  <c r="H3730" i="24"/>
  <c r="H3731" i="24"/>
  <c r="H3732" i="24"/>
  <c r="H3733" i="24"/>
  <c r="H3734" i="24"/>
  <c r="H3735" i="24"/>
  <c r="H3736" i="24"/>
  <c r="H3737" i="24"/>
  <c r="H3738" i="24"/>
  <c r="H3739" i="24"/>
  <c r="H3740" i="24"/>
  <c r="H3741" i="24"/>
  <c r="H3742" i="24"/>
  <c r="H3743" i="24"/>
  <c r="H3744" i="24"/>
  <c r="H3745" i="24"/>
  <c r="H3746" i="24"/>
  <c r="H3747" i="24"/>
  <c r="H3748" i="24"/>
  <c r="H3749" i="24"/>
  <c r="H3750" i="24"/>
  <c r="H3751" i="24"/>
  <c r="H3752" i="24"/>
  <c r="H3753" i="24"/>
  <c r="H3754" i="24"/>
  <c r="H3755" i="24"/>
  <c r="H3756" i="24"/>
  <c r="H3757" i="24"/>
  <c r="H3758" i="24"/>
  <c r="H3759" i="24"/>
  <c r="H3760" i="24"/>
  <c r="H3761" i="24"/>
  <c r="H3762" i="24"/>
  <c r="H3763" i="24"/>
  <c r="H3764" i="24"/>
  <c r="H3765" i="24"/>
  <c r="H3766" i="24"/>
  <c r="H3767" i="24"/>
  <c r="H3768" i="24"/>
  <c r="H3769" i="24"/>
  <c r="H3770" i="24"/>
  <c r="H3771" i="24"/>
  <c r="H3772" i="24"/>
  <c r="H3773" i="24"/>
  <c r="H3774" i="24"/>
  <c r="H3775" i="24"/>
  <c r="H3776" i="24"/>
  <c r="H3777" i="24"/>
  <c r="H3778" i="24"/>
  <c r="H3779" i="24"/>
  <c r="H3780" i="24"/>
  <c r="H3781" i="24"/>
  <c r="H3782" i="24"/>
  <c r="H3783" i="24"/>
  <c r="H3784" i="24"/>
  <c r="H3785" i="24"/>
  <c r="H3786" i="24"/>
  <c r="H3787" i="24"/>
  <c r="H3788" i="24"/>
  <c r="H3789" i="24"/>
  <c r="H3790" i="24"/>
  <c r="H3791" i="24"/>
  <c r="H3792" i="24"/>
  <c r="H3793" i="24"/>
  <c r="H3794" i="24"/>
  <c r="H3795" i="24"/>
  <c r="H3796" i="24"/>
  <c r="H3797" i="24"/>
  <c r="H3798" i="24"/>
  <c r="H3799" i="24"/>
  <c r="H3800" i="24"/>
  <c r="H3801" i="24"/>
  <c r="H3802" i="24"/>
  <c r="H3803" i="24"/>
  <c r="H3804" i="24"/>
  <c r="H3805" i="24"/>
  <c r="H3806" i="24"/>
  <c r="H3807" i="24"/>
  <c r="H3808" i="24"/>
  <c r="H3809" i="24"/>
  <c r="H3810" i="24"/>
  <c r="H3811" i="24"/>
  <c r="H3812" i="24"/>
  <c r="H3813" i="24"/>
  <c r="H3814" i="24"/>
  <c r="H3815" i="24"/>
  <c r="H3816" i="24"/>
  <c r="H3817" i="24"/>
  <c r="H3818" i="24"/>
  <c r="H3819" i="24"/>
  <c r="H3820" i="24"/>
  <c r="H3821" i="24"/>
  <c r="H3822" i="24"/>
  <c r="H3823" i="24"/>
  <c r="H3824" i="24"/>
  <c r="H3825" i="24"/>
  <c r="H3827" i="24"/>
  <c r="H3828" i="24"/>
  <c r="H3829" i="24"/>
  <c r="H3830" i="24"/>
  <c r="H3831" i="24"/>
  <c r="H3832" i="24"/>
  <c r="H3833" i="24"/>
  <c r="H3834" i="24"/>
  <c r="H3835" i="24"/>
  <c r="H3836" i="24"/>
  <c r="H3837" i="24"/>
  <c r="H3838" i="24"/>
  <c r="H3839" i="24"/>
  <c r="H3840" i="24"/>
  <c r="H3841" i="24"/>
  <c r="H3842" i="24"/>
  <c r="H3843" i="24"/>
  <c r="H3844" i="24"/>
  <c r="H3845" i="24"/>
  <c r="H3846" i="24"/>
  <c r="H3847" i="24"/>
  <c r="H3848" i="24"/>
  <c r="H3849" i="24"/>
  <c r="H3850" i="24"/>
  <c r="H3851" i="24"/>
  <c r="H3852" i="24"/>
  <c r="H3853" i="24"/>
  <c r="H3854" i="24"/>
  <c r="H3855" i="24"/>
  <c r="H3856" i="24"/>
  <c r="H3857" i="24"/>
  <c r="H3858" i="24"/>
  <c r="H3859" i="24"/>
  <c r="H3860" i="24"/>
  <c r="H3862" i="24"/>
  <c r="H3863" i="24"/>
  <c r="H3864" i="24"/>
  <c r="H3865" i="24"/>
  <c r="H3866" i="24"/>
  <c r="H3867" i="24"/>
  <c r="H3868" i="24"/>
  <c r="H3869" i="24"/>
  <c r="H3870" i="24"/>
  <c r="H3871" i="24"/>
  <c r="H3872" i="24"/>
  <c r="H3873" i="24"/>
  <c r="H3874" i="24"/>
  <c r="H3875" i="24"/>
  <c r="H3876" i="24"/>
  <c r="H3877" i="24"/>
  <c r="H3878" i="24"/>
  <c r="H3879" i="24"/>
  <c r="H3880" i="24"/>
  <c r="H3881" i="24"/>
  <c r="H3882" i="24"/>
  <c r="H3883" i="24"/>
  <c r="H3884" i="24"/>
  <c r="H3885" i="24"/>
  <c r="H3886" i="24"/>
  <c r="H3887" i="24"/>
  <c r="H3888" i="24"/>
  <c r="H3889" i="24"/>
  <c r="H3890" i="24"/>
  <c r="H3891" i="24"/>
  <c r="H3892" i="24"/>
  <c r="H3893" i="24"/>
  <c r="H3894" i="24"/>
  <c r="H3895" i="24"/>
  <c r="H3897" i="24"/>
  <c r="H3898" i="24"/>
  <c r="H3899" i="24"/>
  <c r="H3900" i="24"/>
  <c r="H3901" i="24"/>
  <c r="H3902" i="24"/>
  <c r="H3903" i="24"/>
  <c r="H3904" i="24"/>
  <c r="H3905" i="24"/>
  <c r="H3906" i="24"/>
  <c r="H3907" i="24"/>
  <c r="H3908" i="24"/>
  <c r="H3909" i="24"/>
  <c r="H3910" i="24"/>
  <c r="H3911" i="24"/>
  <c r="H3912" i="24"/>
  <c r="H3913" i="24"/>
  <c r="H3914" i="24"/>
  <c r="H3915" i="24"/>
  <c r="H3916" i="24"/>
  <c r="H3917" i="24"/>
  <c r="H3918" i="24"/>
  <c r="H3919" i="24"/>
  <c r="H3920" i="24"/>
  <c r="H3921" i="24"/>
  <c r="H3922" i="24"/>
  <c r="H3923" i="24"/>
  <c r="H3924" i="24"/>
  <c r="H3925" i="24"/>
  <c r="H3926" i="24"/>
  <c r="H3927" i="24"/>
  <c r="H3928" i="24"/>
  <c r="H3929" i="24"/>
  <c r="H3930" i="24"/>
  <c r="H3932" i="24"/>
  <c r="H3933" i="24"/>
  <c r="H3934" i="24"/>
  <c r="H3935" i="24"/>
  <c r="H3936" i="24"/>
  <c r="H3937" i="24"/>
  <c r="H3938" i="24"/>
  <c r="H3939" i="24"/>
  <c r="H3940" i="24"/>
  <c r="H3941" i="24"/>
  <c r="H3942" i="24"/>
  <c r="H3943" i="24"/>
  <c r="H3944" i="24"/>
  <c r="H3945" i="24"/>
  <c r="H3946" i="24"/>
  <c r="H3947" i="24"/>
  <c r="H3948" i="24"/>
  <c r="H3949" i="24"/>
  <c r="H3950" i="24"/>
  <c r="H3951" i="24"/>
  <c r="H3952" i="24"/>
  <c r="H3953" i="24"/>
  <c r="H3954" i="24"/>
  <c r="H3955" i="24"/>
  <c r="H3956" i="24"/>
  <c r="H3957" i="24"/>
  <c r="H3958" i="24"/>
  <c r="H3959" i="24"/>
  <c r="H3960" i="24"/>
  <c r="H3961" i="24"/>
  <c r="H3962" i="24"/>
  <c r="H3963" i="24"/>
  <c r="H3964" i="24"/>
  <c r="H3965" i="24"/>
  <c r="H3967" i="24"/>
  <c r="H3968" i="24"/>
  <c r="H3969" i="24"/>
  <c r="H3970" i="24"/>
  <c r="H3971" i="24"/>
  <c r="H3972" i="24"/>
  <c r="H3973" i="24"/>
  <c r="H3974" i="24"/>
  <c r="H3975" i="24"/>
  <c r="H3976" i="24"/>
  <c r="H3977" i="24"/>
  <c r="H3978" i="24"/>
  <c r="H3979" i="24"/>
  <c r="H3980" i="24"/>
  <c r="H3981" i="24"/>
  <c r="H3982" i="24"/>
  <c r="H3983" i="24"/>
  <c r="H3984" i="24"/>
  <c r="H3985" i="24"/>
  <c r="H3986" i="24"/>
  <c r="H3987" i="24"/>
  <c r="H3988" i="24"/>
  <c r="H3989" i="24"/>
  <c r="H3990" i="24"/>
  <c r="H3991" i="24"/>
  <c r="H3992" i="24"/>
  <c r="H3993" i="24"/>
  <c r="H3994" i="24"/>
  <c r="H3995" i="24"/>
  <c r="H3996" i="24"/>
  <c r="H3997" i="24"/>
  <c r="H3998" i="24"/>
  <c r="H3999" i="24"/>
  <c r="H4000" i="24"/>
  <c r="H4001" i="24"/>
  <c r="H4003" i="24"/>
  <c r="H4004" i="24"/>
  <c r="H4005" i="24"/>
  <c r="H4006" i="24"/>
  <c r="H4007" i="24"/>
  <c r="H4008" i="24"/>
  <c r="H4009" i="24"/>
  <c r="H4010" i="24"/>
  <c r="H4011" i="24"/>
  <c r="H4012" i="24"/>
  <c r="H4013" i="24"/>
  <c r="H4014" i="24"/>
  <c r="H4015" i="24"/>
  <c r="H4016" i="24"/>
  <c r="H4017" i="24"/>
  <c r="H4018" i="24"/>
  <c r="H4019" i="24"/>
  <c r="H4020" i="24"/>
  <c r="H4021" i="24"/>
  <c r="H4022" i="24"/>
  <c r="H4023" i="24"/>
  <c r="H4024" i="24"/>
  <c r="H4025" i="24"/>
  <c r="H4026" i="24"/>
  <c r="H4027" i="24"/>
  <c r="H4028" i="24"/>
  <c r="H4029" i="24"/>
  <c r="H4030" i="24"/>
  <c r="H4031" i="24"/>
  <c r="H4032" i="24"/>
  <c r="H4033" i="24"/>
  <c r="H4034" i="24"/>
  <c r="H4036" i="24"/>
  <c r="H4037" i="24"/>
  <c r="H4038" i="24"/>
  <c r="H4039" i="24"/>
  <c r="H4040" i="24"/>
  <c r="H4041" i="24"/>
  <c r="H4042" i="24"/>
  <c r="H4043" i="24"/>
  <c r="H4044" i="24"/>
  <c r="H4045" i="24"/>
  <c r="H4046" i="24"/>
  <c r="H4047" i="24"/>
  <c r="H4048" i="24"/>
  <c r="H4049" i="24"/>
  <c r="H4050" i="24"/>
  <c r="H4051" i="24"/>
  <c r="H4052" i="24"/>
  <c r="H4053" i="24"/>
  <c r="H4054" i="24"/>
  <c r="H4055" i="24"/>
  <c r="H4056" i="24"/>
  <c r="H4057" i="24"/>
  <c r="H4058" i="24"/>
  <c r="H4059" i="24"/>
  <c r="H4060" i="24"/>
  <c r="H4061" i="24"/>
  <c r="H4062" i="24"/>
  <c r="H4063" i="24"/>
  <c r="H4064" i="24"/>
  <c r="H4065" i="24"/>
  <c r="H4066" i="24"/>
  <c r="H4067" i="24"/>
  <c r="H4068" i="24"/>
  <c r="H4069" i="24"/>
  <c r="H4071" i="24"/>
  <c r="H4072" i="24"/>
  <c r="H4073" i="24"/>
  <c r="H4074" i="24"/>
  <c r="H4075" i="24"/>
  <c r="H4076" i="24"/>
  <c r="H4077" i="24"/>
  <c r="H4078" i="24"/>
  <c r="H4079" i="24"/>
  <c r="H4080" i="24"/>
  <c r="H4081" i="24"/>
  <c r="H4082" i="24"/>
  <c r="H4083" i="24"/>
  <c r="H4084" i="24"/>
  <c r="H4085" i="24"/>
  <c r="H4086" i="24"/>
  <c r="H4087" i="24"/>
  <c r="H4088" i="24"/>
  <c r="H4089" i="24"/>
  <c r="H4090" i="24"/>
  <c r="H4091" i="24"/>
  <c r="H4092" i="24"/>
  <c r="H4093" i="24"/>
  <c r="H4094" i="24"/>
  <c r="H4095" i="24"/>
  <c r="H4096" i="24"/>
  <c r="H4097" i="24"/>
  <c r="H4098" i="24"/>
  <c r="H4099" i="24"/>
  <c r="H4100" i="24"/>
  <c r="H4101" i="24"/>
  <c r="H4102" i="24"/>
  <c r="H4103" i="24"/>
  <c r="H4104" i="24"/>
  <c r="H4106" i="24"/>
  <c r="H4107" i="24"/>
  <c r="H4108" i="24"/>
  <c r="H4109" i="24"/>
  <c r="H4110" i="24"/>
  <c r="H4111" i="24"/>
  <c r="H4112" i="24"/>
  <c r="H4113" i="24"/>
  <c r="H4114" i="24"/>
  <c r="H4115" i="24"/>
  <c r="H4116" i="24"/>
  <c r="H4117" i="24"/>
  <c r="H4118" i="24"/>
  <c r="H4119" i="24"/>
  <c r="H4120" i="24"/>
  <c r="H4121" i="24"/>
  <c r="H4122" i="24"/>
  <c r="H4123" i="24"/>
  <c r="H4124" i="24"/>
  <c r="H4125" i="24"/>
  <c r="H4126" i="24"/>
  <c r="H4127" i="24"/>
  <c r="H4128" i="24"/>
  <c r="H4129" i="24"/>
  <c r="H4130" i="24"/>
  <c r="H4131" i="24"/>
  <c r="H4132" i="24"/>
  <c r="H4133" i="24"/>
  <c r="H4134" i="24"/>
  <c r="H4135" i="24"/>
  <c r="H4136" i="24"/>
  <c r="H4137" i="24"/>
  <c r="H4138" i="24"/>
  <c r="H4139" i="24"/>
  <c r="H4141" i="24"/>
  <c r="H4142" i="24"/>
  <c r="H4143" i="24"/>
  <c r="H4144" i="24"/>
  <c r="H4145" i="24"/>
  <c r="H4146" i="24"/>
  <c r="H4147" i="24"/>
  <c r="H4148" i="24"/>
  <c r="H4149" i="24"/>
  <c r="H4150" i="24"/>
  <c r="H4151" i="24"/>
  <c r="H4152" i="24"/>
  <c r="H4153" i="24"/>
  <c r="H4154" i="24"/>
  <c r="H4155" i="24"/>
  <c r="H4156" i="24"/>
  <c r="H4157" i="24"/>
  <c r="H4158" i="24"/>
  <c r="H4159" i="24"/>
  <c r="H4160" i="24"/>
  <c r="H4161" i="24"/>
  <c r="H4162" i="24"/>
  <c r="H4163" i="24"/>
  <c r="H4164" i="24"/>
  <c r="H4165" i="24"/>
  <c r="H4166" i="24"/>
  <c r="H4167" i="24"/>
  <c r="H4168" i="24"/>
  <c r="H4169" i="24"/>
  <c r="H4170" i="24"/>
  <c r="H4171" i="24"/>
  <c r="H4172" i="24"/>
  <c r="H4174" i="24"/>
  <c r="H4175" i="24"/>
  <c r="H4176" i="24"/>
  <c r="H4177" i="24"/>
  <c r="H4178" i="24"/>
  <c r="H4179" i="24"/>
  <c r="H4180" i="24"/>
  <c r="H4181" i="24"/>
  <c r="H4182" i="24"/>
  <c r="H4183" i="24"/>
  <c r="H4184" i="24"/>
  <c r="H4185" i="24"/>
  <c r="H4186" i="24"/>
  <c r="H4187" i="24"/>
  <c r="H4188" i="24"/>
  <c r="H4189" i="24"/>
  <c r="H4190" i="24"/>
  <c r="H4191" i="24"/>
  <c r="H4192" i="24"/>
  <c r="H4193" i="24"/>
  <c r="H4194" i="24"/>
  <c r="H4195" i="24"/>
  <c r="H4196" i="24"/>
  <c r="H4197" i="24"/>
  <c r="H4198" i="24"/>
  <c r="H4199" i="24"/>
  <c r="H4200" i="24"/>
  <c r="H4201" i="24"/>
  <c r="H4202" i="24"/>
  <c r="H4203" i="24"/>
  <c r="H4204" i="24"/>
  <c r="H4205" i="24"/>
  <c r="H4206" i="24"/>
  <c r="H4207" i="24"/>
  <c r="H4209" i="24"/>
  <c r="H4210" i="24"/>
  <c r="H4211" i="24"/>
  <c r="H4212" i="24"/>
  <c r="H4213" i="24"/>
  <c r="H4214" i="24"/>
  <c r="H4215" i="24"/>
  <c r="H4216" i="24"/>
  <c r="H4217" i="24"/>
  <c r="H4218" i="24"/>
  <c r="H4219" i="24"/>
  <c r="H4220" i="24"/>
  <c r="H4221" i="24"/>
  <c r="H4222" i="24"/>
  <c r="H4223" i="24"/>
  <c r="H4224" i="24"/>
  <c r="H4225" i="24"/>
  <c r="H4226" i="24"/>
  <c r="H4227" i="24"/>
  <c r="H4228" i="24"/>
  <c r="H4229" i="24"/>
  <c r="H4230" i="24"/>
  <c r="H4231" i="24"/>
  <c r="H4232" i="24"/>
  <c r="H4233" i="24"/>
  <c r="H4234" i="24"/>
  <c r="H4235" i="24"/>
  <c r="H4236" i="24"/>
  <c r="H4237" i="24"/>
  <c r="H4238" i="24"/>
  <c r="H4239" i="24"/>
  <c r="H4240" i="24"/>
  <c r="H4241" i="24"/>
  <c r="H4242" i="24"/>
  <c r="H4244" i="24"/>
  <c r="H4245" i="24"/>
  <c r="H4246" i="24"/>
  <c r="H4247" i="24"/>
  <c r="H4248" i="24"/>
  <c r="H4249" i="24"/>
  <c r="H4250" i="24"/>
  <c r="H4251" i="24"/>
  <c r="H4252" i="24"/>
  <c r="H4253" i="24"/>
  <c r="H4254" i="24"/>
  <c r="H4255" i="24"/>
  <c r="H4256" i="24"/>
  <c r="H4257" i="24"/>
  <c r="H4258" i="24"/>
  <c r="H4259" i="24"/>
  <c r="H4260" i="24"/>
  <c r="H4261" i="24"/>
  <c r="H4262" i="24"/>
  <c r="H4263" i="24"/>
  <c r="H4264" i="24"/>
  <c r="H4265" i="24"/>
  <c r="H4266" i="24"/>
  <c r="H4267" i="24"/>
  <c r="H4268" i="24"/>
  <c r="H4269" i="24"/>
  <c r="H4270" i="24"/>
  <c r="H4271" i="24"/>
  <c r="H4272" i="24"/>
  <c r="H4273" i="24"/>
  <c r="H4274" i="24"/>
  <c r="H4275" i="24"/>
  <c r="H4276" i="24"/>
  <c r="H4277" i="24"/>
  <c r="H4279" i="24"/>
  <c r="H4280" i="24"/>
  <c r="H4281" i="24"/>
  <c r="H4282" i="24"/>
  <c r="H4283" i="24"/>
  <c r="H4284" i="24"/>
  <c r="H4285" i="24"/>
  <c r="H4286" i="24"/>
  <c r="H4287" i="24"/>
  <c r="H4289" i="24"/>
  <c r="H4290" i="24"/>
  <c r="D434" i="24"/>
  <c r="E434" i="24"/>
  <c r="C434" i="24"/>
  <c r="D4291" i="24"/>
  <c r="C4291" i="24"/>
  <c r="E4278" i="24"/>
  <c r="D4278" i="24"/>
  <c r="C4278" i="24"/>
  <c r="E4243" i="24"/>
  <c r="D4243" i="24"/>
  <c r="I4243" i="24"/>
  <c r="C4243" i="24"/>
  <c r="D4208" i="24"/>
  <c r="C4208" i="24"/>
  <c r="I4208" i="24"/>
  <c r="E4208" i="24"/>
  <c r="E4173" i="24"/>
  <c r="D4173" i="24"/>
  <c r="E4140" i="24"/>
  <c r="D4140" i="24"/>
  <c r="C4140" i="24"/>
  <c r="E4105" i="24"/>
  <c r="H4105" i="24"/>
  <c r="D4105" i="24"/>
  <c r="C4105" i="24"/>
  <c r="CF92" i="12"/>
  <c r="BX92" i="12"/>
  <c r="CF91" i="12"/>
  <c r="BX91" i="12"/>
  <c r="CF90" i="12"/>
  <c r="BX90" i="12"/>
  <c r="CF89" i="12"/>
  <c r="CF88" i="12"/>
  <c r="BX88" i="12"/>
  <c r="CF87" i="12"/>
  <c r="BX87" i="12" s="1"/>
  <c r="CF86" i="12"/>
  <c r="CF85" i="12"/>
  <c r="BX85" i="12" s="1"/>
  <c r="CF84" i="12"/>
  <c r="BX84" i="12" s="1"/>
  <c r="CF83" i="12"/>
  <c r="CF82" i="12"/>
  <c r="BX82" i="12" s="1"/>
  <c r="CF81" i="12"/>
  <c r="BX81" i="12"/>
  <c r="CF80" i="12"/>
  <c r="CF79" i="12"/>
  <c r="BX79" i="12"/>
  <c r="CF78" i="12"/>
  <c r="BX78" i="12" s="1"/>
  <c r="CF77" i="12"/>
  <c r="BX77" i="12" s="1"/>
  <c r="CF76" i="12"/>
  <c r="CF75" i="12"/>
  <c r="BX75" i="12" s="1"/>
  <c r="CF74" i="12"/>
  <c r="CF73" i="12"/>
  <c r="BX73" i="12" s="1"/>
  <c r="CF72" i="12"/>
  <c r="BX72" i="12" s="1"/>
  <c r="CF71" i="12"/>
  <c r="BX71" i="12" s="1"/>
  <c r="CF70" i="12"/>
  <c r="BX70" i="12" s="1"/>
  <c r="CF69" i="12"/>
  <c r="BX69" i="12" s="1"/>
  <c r="CF68" i="12"/>
  <c r="BX68" i="12" s="1"/>
  <c r="CF67" i="12"/>
  <c r="BX67" i="12" s="1"/>
  <c r="CF66" i="12"/>
  <c r="BX66" i="12" s="1"/>
  <c r="CF65" i="12"/>
  <c r="BX65" i="12" s="1"/>
  <c r="CF64" i="12"/>
  <c r="CF63" i="12"/>
  <c r="BX63" i="12"/>
  <c r="CF62" i="12"/>
  <c r="BX62" i="12"/>
  <c r="CF61" i="12"/>
  <c r="BX61" i="12"/>
  <c r="CF60" i="12"/>
  <c r="BX60" i="12"/>
  <c r="CF59" i="12"/>
  <c r="BX59" i="12"/>
  <c r="CF58" i="12"/>
  <c r="CF57" i="12"/>
  <c r="BX57" i="12" s="1"/>
  <c r="CF56" i="12"/>
  <c r="BX56" i="12" s="1"/>
  <c r="CF55" i="12"/>
  <c r="BX55" i="12" s="1"/>
  <c r="CF54" i="12"/>
  <c r="BX54" i="12" s="1"/>
  <c r="CH53" i="12"/>
  <c r="CH52" i="12"/>
  <c r="CF51" i="12"/>
  <c r="CF50" i="12"/>
  <c r="BX50" i="12"/>
  <c r="CF49" i="12"/>
  <c r="BX49" i="12"/>
  <c r="CF48" i="12"/>
  <c r="BX48" i="12"/>
  <c r="CG47" i="12"/>
  <c r="CF46" i="12"/>
  <c r="BX46" i="12" s="1"/>
  <c r="CF45" i="12"/>
  <c r="BX45" i="12" s="1"/>
  <c r="CF44" i="12"/>
  <c r="BX44" i="12" s="1"/>
  <c r="CF43" i="12"/>
  <c r="BX43" i="12" s="1"/>
  <c r="CH42" i="12"/>
  <c r="CH47" i="12" s="1"/>
  <c r="CF41" i="12"/>
  <c r="BX41" i="12"/>
  <c r="CF40" i="12"/>
  <c r="BX40" i="12"/>
  <c r="CF39" i="12"/>
  <c r="BX39" i="12"/>
  <c r="CF38" i="12"/>
  <c r="BX38" i="12"/>
  <c r="CF37" i="12"/>
  <c r="BX37" i="12"/>
  <c r="CF36" i="12"/>
  <c r="BX36" i="12"/>
  <c r="CF35" i="12"/>
  <c r="BX35" i="12"/>
  <c r="CH34" i="12"/>
  <c r="CF33" i="12"/>
  <c r="CF32" i="12"/>
  <c r="BX32" i="12" s="1"/>
  <c r="CF31" i="12"/>
  <c r="BX31" i="12" s="1"/>
  <c r="CF30" i="12"/>
  <c r="CF29" i="12"/>
  <c r="CF28" i="12"/>
  <c r="CF27" i="12"/>
  <c r="BX27" i="12"/>
  <c r="CF26" i="12"/>
  <c r="BX26" i="12"/>
  <c r="CF25" i="12"/>
  <c r="BX25" i="12"/>
  <c r="CF24" i="12"/>
  <c r="BX24" i="12"/>
  <c r="CG23" i="12"/>
  <c r="CH19" i="12"/>
  <c r="CF19" i="12" s="1"/>
  <c r="BX19" i="12"/>
  <c r="BK47" i="12"/>
  <c r="BK23" i="12"/>
  <c r="BL99" i="12"/>
  <c r="BL47" i="12"/>
  <c r="BL114" i="12" s="1"/>
  <c r="BL118" i="12" s="1"/>
  <c r="BL23" i="12"/>
  <c r="Z99" i="12"/>
  <c r="Y99" i="12"/>
  <c r="X98" i="12"/>
  <c r="X97" i="12"/>
  <c r="X96" i="12"/>
  <c r="X95" i="12"/>
  <c r="CI95" i="12" s="1"/>
  <c r="X94" i="12"/>
  <c r="X93" i="12"/>
  <c r="X92" i="12"/>
  <c r="CI92" i="12" s="1"/>
  <c r="X91" i="12"/>
  <c r="X90" i="12"/>
  <c r="X89" i="12"/>
  <c r="X88" i="12"/>
  <c r="X87" i="12"/>
  <c r="X86" i="12"/>
  <c r="X85" i="12"/>
  <c r="X84" i="12"/>
  <c r="X83" i="12"/>
  <c r="X82" i="12"/>
  <c r="X81" i="12"/>
  <c r="X80" i="12"/>
  <c r="X79" i="12"/>
  <c r="X78" i="12"/>
  <c r="X77" i="12"/>
  <c r="X76" i="12"/>
  <c r="X75" i="12"/>
  <c r="X74" i="12"/>
  <c r="X73" i="12"/>
  <c r="X72" i="12"/>
  <c r="X71" i="12"/>
  <c r="X70" i="12"/>
  <c r="X69" i="12"/>
  <c r="X68" i="12"/>
  <c r="X67" i="12"/>
  <c r="X66" i="12"/>
  <c r="X65" i="12"/>
  <c r="X64" i="12"/>
  <c r="X63" i="12"/>
  <c r="X62" i="12"/>
  <c r="X61" i="12"/>
  <c r="X60" i="12"/>
  <c r="X59" i="12"/>
  <c r="X58" i="12"/>
  <c r="X57" i="12"/>
  <c r="X56" i="12"/>
  <c r="X55" i="12"/>
  <c r="X54" i="12"/>
  <c r="X53" i="12"/>
  <c r="X52" i="12"/>
  <c r="X51" i="12"/>
  <c r="X50" i="12"/>
  <c r="X49" i="12"/>
  <c r="X48" i="12"/>
  <c r="Z47" i="12"/>
  <c r="Y47" i="12"/>
  <c r="X46" i="12"/>
  <c r="X45" i="12"/>
  <c r="X44" i="12"/>
  <c r="X43" i="12"/>
  <c r="X42" i="12"/>
  <c r="X41" i="12"/>
  <c r="X40" i="12"/>
  <c r="X39" i="12"/>
  <c r="X38" i="12"/>
  <c r="X37" i="12"/>
  <c r="CI37" i="12" s="1"/>
  <c r="X36" i="12"/>
  <c r="X35" i="12"/>
  <c r="X34" i="12"/>
  <c r="X33" i="12"/>
  <c r="X32" i="12"/>
  <c r="X31" i="12"/>
  <c r="X30" i="12"/>
  <c r="X29" i="12"/>
  <c r="X28" i="12"/>
  <c r="X27" i="12"/>
  <c r="X26" i="12"/>
  <c r="X25" i="12"/>
  <c r="X24" i="12"/>
  <c r="Z23" i="12"/>
  <c r="Y23" i="12"/>
  <c r="X22" i="12"/>
  <c r="X21" i="12"/>
  <c r="X20" i="12"/>
  <c r="CI20" i="12" s="1"/>
  <c r="X19" i="12"/>
  <c r="X18" i="12"/>
  <c r="X23" i="12"/>
  <c r="AG99" i="12"/>
  <c r="AF99" i="12"/>
  <c r="AG47" i="12"/>
  <c r="AF47" i="12"/>
  <c r="AF23" i="12"/>
  <c r="AF114" i="12" s="1"/>
  <c r="AF118" i="12" s="1"/>
  <c r="AE23" i="12"/>
  <c r="AK47" i="12"/>
  <c r="AK23" i="12"/>
  <c r="AA47" i="12"/>
  <c r="P47" i="12"/>
  <c r="P23" i="12"/>
  <c r="L23" i="12"/>
  <c r="K47" i="12"/>
  <c r="K23" i="12"/>
  <c r="J99" i="12"/>
  <c r="J114" i="12"/>
  <c r="J47" i="12"/>
  <c r="J23" i="12"/>
  <c r="I47" i="12"/>
  <c r="I23" i="12"/>
  <c r="I99" i="12"/>
  <c r="K128" i="1"/>
  <c r="L128" i="1"/>
  <c r="M128" i="1"/>
  <c r="N128" i="1"/>
  <c r="P128" i="1"/>
  <c r="F128" i="1"/>
  <c r="G128" i="1"/>
  <c r="H128" i="1"/>
  <c r="I128" i="1"/>
  <c r="J163" i="1"/>
  <c r="Q163" i="1"/>
  <c r="E163" i="1"/>
  <c r="R163" i="1"/>
  <c r="V160" i="1"/>
  <c r="J160" i="1"/>
  <c r="E160" i="1"/>
  <c r="R160" i="1" s="1"/>
  <c r="J89" i="1"/>
  <c r="J90" i="1"/>
  <c r="J91" i="1"/>
  <c r="J92" i="1"/>
  <c r="E89" i="1"/>
  <c r="R89" i="1" s="1"/>
  <c r="N64" i="1"/>
  <c r="N63" i="1"/>
  <c r="C89" i="27"/>
  <c r="G89" i="27" s="1"/>
  <c r="C91" i="27"/>
  <c r="G91" i="27"/>
  <c r="E73" i="27"/>
  <c r="C73" i="27"/>
  <c r="G73" i="27" s="1"/>
  <c r="G236" i="1"/>
  <c r="H236" i="1"/>
  <c r="K236" i="1"/>
  <c r="L236" i="1"/>
  <c r="M236" i="1"/>
  <c r="N236" i="1"/>
  <c r="O236" i="1"/>
  <c r="V236" i="1" s="1"/>
  <c r="P236" i="1"/>
  <c r="F232" i="1"/>
  <c r="G232" i="1"/>
  <c r="I232" i="1"/>
  <c r="K232" i="1"/>
  <c r="L232" i="1"/>
  <c r="M232" i="1"/>
  <c r="N232" i="1"/>
  <c r="O232" i="1"/>
  <c r="P232" i="1"/>
  <c r="F224" i="1"/>
  <c r="G224" i="1"/>
  <c r="H224" i="1"/>
  <c r="I224" i="1"/>
  <c r="K224" i="1"/>
  <c r="L224" i="1"/>
  <c r="M224" i="1"/>
  <c r="N224" i="1"/>
  <c r="O224" i="1"/>
  <c r="P224" i="1"/>
  <c r="T224" i="1"/>
  <c r="F225" i="1"/>
  <c r="G225" i="1"/>
  <c r="H225" i="1"/>
  <c r="I225" i="1"/>
  <c r="K225" i="1"/>
  <c r="L225" i="1"/>
  <c r="M225" i="1"/>
  <c r="N225" i="1"/>
  <c r="V225" i="1" s="1"/>
  <c r="O225" i="1"/>
  <c r="P225" i="1"/>
  <c r="T225" i="1"/>
  <c r="F217" i="1"/>
  <c r="G217" i="1"/>
  <c r="H217" i="1"/>
  <c r="I217" i="1"/>
  <c r="K217" i="1"/>
  <c r="L217" i="1"/>
  <c r="M217" i="1"/>
  <c r="N217" i="1"/>
  <c r="V217" i="1" s="1"/>
  <c r="O217" i="1"/>
  <c r="P217" i="1"/>
  <c r="F218" i="1"/>
  <c r="G218" i="1"/>
  <c r="H218" i="1"/>
  <c r="I218" i="1"/>
  <c r="K218" i="1"/>
  <c r="L218" i="1"/>
  <c r="M218" i="1"/>
  <c r="N218" i="1"/>
  <c r="O218" i="1"/>
  <c r="V218" i="1" s="1"/>
  <c r="P218" i="1"/>
  <c r="F209" i="1"/>
  <c r="G209" i="1"/>
  <c r="H209" i="1"/>
  <c r="I209" i="1"/>
  <c r="K209" i="1"/>
  <c r="L209" i="1"/>
  <c r="M209" i="1"/>
  <c r="N209" i="1"/>
  <c r="O209" i="1"/>
  <c r="P209" i="1"/>
  <c r="F201" i="1"/>
  <c r="G201" i="1"/>
  <c r="H201" i="1"/>
  <c r="I201" i="1"/>
  <c r="K201" i="1"/>
  <c r="L201" i="1"/>
  <c r="M201" i="1"/>
  <c r="N201" i="1"/>
  <c r="O201" i="1"/>
  <c r="V201" i="1" s="1"/>
  <c r="P201" i="1"/>
  <c r="F157" i="1"/>
  <c r="G157" i="1"/>
  <c r="H157" i="1"/>
  <c r="I157" i="1"/>
  <c r="K157" i="1"/>
  <c r="L157" i="1"/>
  <c r="M157" i="1"/>
  <c r="F129" i="1"/>
  <c r="F130" i="1"/>
  <c r="G129" i="1"/>
  <c r="H129" i="1"/>
  <c r="H130" i="1" s="1"/>
  <c r="I129" i="1"/>
  <c r="I130" i="1" s="1"/>
  <c r="K129" i="1"/>
  <c r="L129" i="1"/>
  <c r="L130" i="1"/>
  <c r="M129" i="1"/>
  <c r="M130" i="1"/>
  <c r="N129" i="1"/>
  <c r="N130" i="1"/>
  <c r="O129" i="1"/>
  <c r="P129" i="1"/>
  <c r="P130" i="1" s="1"/>
  <c r="F113" i="1"/>
  <c r="F114" i="1" s="1"/>
  <c r="G113" i="1"/>
  <c r="G114" i="1" s="1"/>
  <c r="H113" i="1"/>
  <c r="H114" i="1" s="1"/>
  <c r="I113" i="1"/>
  <c r="I114" i="1" s="1"/>
  <c r="K113" i="1"/>
  <c r="K114" i="1" s="1"/>
  <c r="L113" i="1"/>
  <c r="M113" i="1"/>
  <c r="M114" i="1"/>
  <c r="O113" i="1"/>
  <c r="P113" i="1"/>
  <c r="P114" i="1" s="1"/>
  <c r="F106" i="1"/>
  <c r="G106" i="1"/>
  <c r="H106" i="1"/>
  <c r="I106" i="1"/>
  <c r="K106" i="1"/>
  <c r="L106" i="1"/>
  <c r="M106" i="1"/>
  <c r="N106" i="1"/>
  <c r="O106" i="1"/>
  <c r="V106" i="1" s="1"/>
  <c r="P106" i="1"/>
  <c r="F51" i="1"/>
  <c r="F52" i="1"/>
  <c r="G51" i="1"/>
  <c r="G52" i="1"/>
  <c r="H51" i="1"/>
  <c r="I51" i="1"/>
  <c r="I52" i="1" s="1"/>
  <c r="K51" i="1"/>
  <c r="K52" i="1" s="1"/>
  <c r="L51" i="1"/>
  <c r="L52" i="1" s="1"/>
  <c r="M51" i="1"/>
  <c r="M52" i="1" s="1"/>
  <c r="O51" i="1"/>
  <c r="P51" i="1"/>
  <c r="P52" i="1" s="1"/>
  <c r="F31" i="1"/>
  <c r="G31" i="1"/>
  <c r="H31" i="1"/>
  <c r="I31" i="1"/>
  <c r="K31" i="1"/>
  <c r="L31" i="1"/>
  <c r="M31" i="1"/>
  <c r="G14" i="1"/>
  <c r="H14" i="1"/>
  <c r="I14" i="1"/>
  <c r="K14" i="1"/>
  <c r="L14" i="1"/>
  <c r="M14" i="1"/>
  <c r="O14" i="1"/>
  <c r="D50" i="27"/>
  <c r="C50" i="27" s="1"/>
  <c r="G50" i="27" s="1"/>
  <c r="E222" i="1"/>
  <c r="E219" i="1"/>
  <c r="H10" i="31"/>
  <c r="H11" i="31"/>
  <c r="H12" i="31"/>
  <c r="H13" i="31"/>
  <c r="H14" i="31"/>
  <c r="H15" i="31"/>
  <c r="H16" i="31"/>
  <c r="H17" i="31"/>
  <c r="H18" i="31"/>
  <c r="H19" i="31"/>
  <c r="H20" i="31"/>
  <c r="H21" i="31"/>
  <c r="H22" i="31"/>
  <c r="H23" i="31"/>
  <c r="H28" i="31"/>
  <c r="H29" i="31"/>
  <c r="H30" i="31"/>
  <c r="H31" i="31"/>
  <c r="H32" i="31"/>
  <c r="H33" i="31"/>
  <c r="H34" i="31"/>
  <c r="H35" i="31"/>
  <c r="H36" i="31"/>
  <c r="H37" i="31"/>
  <c r="H38" i="31"/>
  <c r="H39" i="31"/>
  <c r="H40" i="31"/>
  <c r="H41" i="31"/>
  <c r="H42" i="31"/>
  <c r="H43" i="31"/>
  <c r="H44" i="31"/>
  <c r="H45" i="31"/>
  <c r="H46" i="31"/>
  <c r="H47" i="31"/>
  <c r="D80" i="31"/>
  <c r="H80" i="31"/>
  <c r="E80" i="31"/>
  <c r="D8" i="31"/>
  <c r="H62" i="31"/>
  <c r="H61" i="31"/>
  <c r="H60" i="31"/>
  <c r="H59" i="31"/>
  <c r="H58" i="31"/>
  <c r="H57" i="31"/>
  <c r="H56" i="31"/>
  <c r="H55" i="31"/>
  <c r="H54" i="31"/>
  <c r="H53" i="31"/>
  <c r="H52" i="31"/>
  <c r="H51" i="31"/>
  <c r="H50" i="31"/>
  <c r="H49" i="31"/>
  <c r="H48" i="31"/>
  <c r="D28" i="20"/>
  <c r="E24" i="1"/>
  <c r="E18" i="1"/>
  <c r="V23" i="1"/>
  <c r="J24" i="1"/>
  <c r="R24" i="1" s="1"/>
  <c r="E3826" i="24"/>
  <c r="C3708" i="24"/>
  <c r="D3708" i="24"/>
  <c r="E3708" i="24"/>
  <c r="C3028" i="24"/>
  <c r="I3028" i="24" s="1"/>
  <c r="E2353" i="24"/>
  <c r="V17" i="1"/>
  <c r="V18" i="1"/>
  <c r="V19" i="1"/>
  <c r="V20" i="1"/>
  <c r="V21" i="1"/>
  <c r="V22" i="1"/>
  <c r="V27" i="1"/>
  <c r="V32" i="1"/>
  <c r="V33" i="1"/>
  <c r="V35" i="1"/>
  <c r="V36" i="1"/>
  <c r="V38" i="1"/>
  <c r="V39" i="1"/>
  <c r="V40" i="1"/>
  <c r="V41" i="1"/>
  <c r="V42" i="1"/>
  <c r="V43" i="1"/>
  <c r="V44" i="1"/>
  <c r="V45" i="1"/>
  <c r="V46" i="1"/>
  <c r="V47" i="1"/>
  <c r="V54" i="1"/>
  <c r="V55" i="1"/>
  <c r="V58" i="1"/>
  <c r="V59" i="1"/>
  <c r="V60" i="1"/>
  <c r="V61" i="1"/>
  <c r="V64" i="1"/>
  <c r="V65" i="1"/>
  <c r="V66" i="1"/>
  <c r="V67" i="1"/>
  <c r="V68" i="1"/>
  <c r="V69" i="1"/>
  <c r="V70" i="1"/>
  <c r="V72" i="1"/>
  <c r="V73" i="1"/>
  <c r="V74" i="1"/>
  <c r="V75" i="1"/>
  <c r="V78" i="1"/>
  <c r="V79" i="1"/>
  <c r="V80" i="1"/>
  <c r="V81" i="1"/>
  <c r="V82" i="1"/>
  <c r="V84" i="1"/>
  <c r="V85" i="1"/>
  <c r="V86" i="1"/>
  <c r="V87" i="1"/>
  <c r="V88" i="1"/>
  <c r="V90" i="1"/>
  <c r="V91" i="1"/>
  <c r="V92" i="1"/>
  <c r="V93" i="1"/>
  <c r="V94" i="1"/>
  <c r="V96" i="1"/>
  <c r="V97" i="1"/>
  <c r="V98" i="1"/>
  <c r="V99" i="1"/>
  <c r="V100" i="1"/>
  <c r="V101" i="1"/>
  <c r="V104" i="1"/>
  <c r="V107" i="1"/>
  <c r="V108" i="1"/>
  <c r="V109" i="1"/>
  <c r="V110" i="1"/>
  <c r="V116" i="1"/>
  <c r="V117" i="1"/>
  <c r="V118" i="1"/>
  <c r="V120" i="1"/>
  <c r="V121" i="1"/>
  <c r="V122" i="1"/>
  <c r="V123" i="1"/>
  <c r="V124" i="1"/>
  <c r="V125" i="1"/>
  <c r="V126" i="1"/>
  <c r="V127" i="1"/>
  <c r="V132" i="1"/>
  <c r="V133" i="1"/>
  <c r="V134" i="1"/>
  <c r="V135" i="1"/>
  <c r="V136" i="1"/>
  <c r="V137" i="1"/>
  <c r="V139" i="1"/>
  <c r="V140" i="1"/>
  <c r="V141" i="1"/>
  <c r="V142" i="1"/>
  <c r="V143" i="1"/>
  <c r="V145" i="1"/>
  <c r="V146" i="1"/>
  <c r="V147" i="1"/>
  <c r="V148" i="1"/>
  <c r="V149" i="1"/>
  <c r="V150" i="1"/>
  <c r="V151" i="1"/>
  <c r="V152" i="1"/>
  <c r="V153" i="1"/>
  <c r="V154" i="1"/>
  <c r="V155" i="1"/>
  <c r="V159" i="1"/>
  <c r="V162" i="1"/>
  <c r="V164" i="1"/>
  <c r="V167" i="1"/>
  <c r="V168" i="1"/>
  <c r="V169" i="1"/>
  <c r="V170" i="1"/>
  <c r="V171" i="1"/>
  <c r="V174" i="1"/>
  <c r="V177" i="1"/>
  <c r="V178" i="1"/>
  <c r="V179" i="1"/>
  <c r="V180" i="1"/>
  <c r="V181" i="1"/>
  <c r="V182" i="1"/>
  <c r="V185" i="1"/>
  <c r="V187" i="1"/>
  <c r="V189" i="1"/>
  <c r="V194" i="1"/>
  <c r="V195" i="1"/>
  <c r="V196" i="1"/>
  <c r="V202" i="1"/>
  <c r="V205" i="1"/>
  <c r="V206" i="1"/>
  <c r="V207" i="1"/>
  <c r="V211" i="1"/>
  <c r="V212" i="1"/>
  <c r="V215" i="1"/>
  <c r="V216" i="1"/>
  <c r="V219" i="1"/>
  <c r="V220" i="1"/>
  <c r="V221" i="1"/>
  <c r="V222" i="1"/>
  <c r="V223" i="1"/>
  <c r="V226" i="1"/>
  <c r="V229" i="1"/>
  <c r="V230" i="1"/>
  <c r="V233" i="1"/>
  <c r="V234" i="1"/>
  <c r="V237" i="1"/>
  <c r="V238" i="1"/>
  <c r="V239" i="1"/>
  <c r="V240" i="1"/>
  <c r="V241" i="1"/>
  <c r="V242" i="1"/>
  <c r="V243" i="1"/>
  <c r="V244" i="1"/>
  <c r="V245" i="1"/>
  <c r="V246" i="1"/>
  <c r="V247" i="1"/>
  <c r="V248" i="1"/>
  <c r="V249" i="1"/>
  <c r="V250" i="1"/>
  <c r="E221" i="1"/>
  <c r="D27" i="20"/>
  <c r="J192" i="1"/>
  <c r="F142" i="27"/>
  <c r="I28" i="37"/>
  <c r="H28" i="37"/>
  <c r="I24" i="37"/>
  <c r="H24" i="37"/>
  <c r="I19" i="37"/>
  <c r="H19" i="37"/>
  <c r="I18" i="37"/>
  <c r="H18" i="37"/>
  <c r="I11" i="37"/>
  <c r="H11" i="37"/>
  <c r="E249" i="1"/>
  <c r="P235" i="1"/>
  <c r="T235" i="1" s="1"/>
  <c r="J252" i="1"/>
  <c r="E237" i="1"/>
  <c r="R237" i="1" s="1"/>
  <c r="BR47" i="12"/>
  <c r="BS47" i="12"/>
  <c r="BT47" i="12"/>
  <c r="BR23" i="12"/>
  <c r="BS23" i="12"/>
  <c r="BS118" i="12"/>
  <c r="BT23" i="12"/>
  <c r="BR99" i="12"/>
  <c r="BS99" i="12"/>
  <c r="BS114" i="12" s="1"/>
  <c r="BT99" i="12"/>
  <c r="BQ117" i="12"/>
  <c r="BQ116" i="12"/>
  <c r="BQ115" i="12"/>
  <c r="BQ102" i="12"/>
  <c r="BQ101" i="12"/>
  <c r="BQ100" i="12"/>
  <c r="BQ98" i="12"/>
  <c r="BQ97" i="12"/>
  <c r="BQ96" i="12"/>
  <c r="BQ93" i="12"/>
  <c r="BQ92" i="12"/>
  <c r="BQ91" i="12"/>
  <c r="BQ90" i="12"/>
  <c r="BQ89" i="12"/>
  <c r="BQ88" i="12"/>
  <c r="BQ87" i="12"/>
  <c r="BQ86" i="12"/>
  <c r="BQ85" i="12"/>
  <c r="BQ84" i="12"/>
  <c r="BQ83" i="12"/>
  <c r="BQ82" i="12"/>
  <c r="BQ81" i="12"/>
  <c r="BQ80" i="12"/>
  <c r="BQ79" i="12"/>
  <c r="BQ78" i="12"/>
  <c r="BQ77" i="12"/>
  <c r="BQ76" i="12"/>
  <c r="BQ75" i="12"/>
  <c r="BQ74" i="12"/>
  <c r="BQ73" i="12"/>
  <c r="BQ72" i="12"/>
  <c r="BQ71" i="12"/>
  <c r="BQ70" i="12"/>
  <c r="BQ69" i="12"/>
  <c r="BQ68" i="12"/>
  <c r="BQ67" i="12"/>
  <c r="BQ66" i="12"/>
  <c r="BQ65" i="12"/>
  <c r="BQ64" i="12"/>
  <c r="BQ63" i="12"/>
  <c r="BQ62" i="12"/>
  <c r="BQ61" i="12"/>
  <c r="BQ60" i="12"/>
  <c r="BQ59" i="12"/>
  <c r="BQ58" i="12"/>
  <c r="BQ57" i="12"/>
  <c r="BQ56" i="12"/>
  <c r="BQ55" i="12"/>
  <c r="BQ54" i="12"/>
  <c r="BQ53" i="12"/>
  <c r="BQ52" i="12"/>
  <c r="BQ51" i="12"/>
  <c r="BQ50" i="12"/>
  <c r="BQ49" i="12"/>
  <c r="BQ48" i="12"/>
  <c r="BQ46" i="12"/>
  <c r="BQ45" i="12"/>
  <c r="BQ44" i="12"/>
  <c r="BQ43" i="12"/>
  <c r="BQ42" i="12"/>
  <c r="BQ41" i="12"/>
  <c r="BQ40" i="12"/>
  <c r="BQ39" i="12"/>
  <c r="BQ38" i="12"/>
  <c r="BQ37" i="12"/>
  <c r="BQ36" i="12"/>
  <c r="BQ35" i="12"/>
  <c r="BQ34" i="12"/>
  <c r="BQ33" i="12"/>
  <c r="BQ32" i="12"/>
  <c r="BQ31" i="12"/>
  <c r="BQ30" i="12"/>
  <c r="BQ29" i="12"/>
  <c r="BQ28" i="12"/>
  <c r="BQ27" i="12"/>
  <c r="BQ26" i="12"/>
  <c r="BQ25" i="12"/>
  <c r="BQ24" i="12"/>
  <c r="BQ47" i="12" s="1"/>
  <c r="BQ19" i="12"/>
  <c r="BQ20" i="12"/>
  <c r="BQ21" i="12"/>
  <c r="BQ22" i="12"/>
  <c r="BQ18" i="12"/>
  <c r="BQ23" i="12" s="1"/>
  <c r="BQ114" i="12" s="1"/>
  <c r="J153" i="1"/>
  <c r="J154" i="1"/>
  <c r="E153" i="1"/>
  <c r="R153" i="1"/>
  <c r="E154" i="1"/>
  <c r="E34" i="1"/>
  <c r="E243" i="1"/>
  <c r="E78" i="1"/>
  <c r="V158" i="1"/>
  <c r="J43" i="1"/>
  <c r="J44" i="1"/>
  <c r="J45" i="1"/>
  <c r="J46" i="1"/>
  <c r="J47" i="1"/>
  <c r="V165" i="1"/>
  <c r="J188" i="1"/>
  <c r="E47" i="1"/>
  <c r="R47" i="1" s="1"/>
  <c r="Q47" i="1"/>
  <c r="BU47" i="12"/>
  <c r="J207" i="1"/>
  <c r="P208" i="1"/>
  <c r="N208" i="1"/>
  <c r="E210" i="1"/>
  <c r="J29" i="1"/>
  <c r="K15" i="1"/>
  <c r="E17" i="1"/>
  <c r="O117" i="12"/>
  <c r="E101" i="1"/>
  <c r="N105" i="1"/>
  <c r="F140" i="27"/>
  <c r="D11" i="32"/>
  <c r="E11" i="32"/>
  <c r="F90" i="12"/>
  <c r="F145" i="27"/>
  <c r="C1948" i="29"/>
  <c r="D1963" i="29"/>
  <c r="E1963" i="29"/>
  <c r="C605" i="29"/>
  <c r="AK117" i="12"/>
  <c r="E29" i="37"/>
  <c r="D29" i="37"/>
  <c r="I29" i="37" s="1"/>
  <c r="C29" i="37"/>
  <c r="D2539" i="24"/>
  <c r="C2545" i="24"/>
  <c r="H2545" i="24" s="1"/>
  <c r="BX101" i="12"/>
  <c r="I30" i="37"/>
  <c r="I32" i="37"/>
  <c r="I34" i="37"/>
  <c r="I36" i="37"/>
  <c r="I38" i="37"/>
  <c r="I40" i="37"/>
  <c r="C2353" i="24"/>
  <c r="D2545" i="24"/>
  <c r="E2545" i="24"/>
  <c r="J238" i="1"/>
  <c r="J237" i="1"/>
  <c r="J240" i="1"/>
  <c r="G235" i="1"/>
  <c r="H235" i="1"/>
  <c r="K235" i="1"/>
  <c r="L235" i="1"/>
  <c r="M235" i="1"/>
  <c r="C115" i="27"/>
  <c r="G115" i="27" s="1"/>
  <c r="C116" i="27"/>
  <c r="G116" i="27" s="1"/>
  <c r="C117" i="27"/>
  <c r="G117" i="27" s="1"/>
  <c r="T13" i="1"/>
  <c r="V13" i="1"/>
  <c r="J205" i="1"/>
  <c r="R205" i="1" s="1"/>
  <c r="J203" i="1"/>
  <c r="J198" i="1"/>
  <c r="J159" i="1"/>
  <c r="E159" i="1"/>
  <c r="F143" i="27"/>
  <c r="C45" i="32"/>
  <c r="D27" i="37"/>
  <c r="E27" i="37"/>
  <c r="D908" i="29"/>
  <c r="E908" i="29"/>
  <c r="C908" i="29"/>
  <c r="D81" i="32"/>
  <c r="E81" i="32"/>
  <c r="F48" i="12"/>
  <c r="C81" i="32"/>
  <c r="D24" i="32"/>
  <c r="E24" i="32"/>
  <c r="F78" i="12"/>
  <c r="E87" i="32"/>
  <c r="F45" i="12" s="1"/>
  <c r="F47" i="12" s="1"/>
  <c r="D87" i="32"/>
  <c r="D90" i="31"/>
  <c r="H90" i="31" s="1"/>
  <c r="E90" i="31"/>
  <c r="V254" i="1"/>
  <c r="D139" i="27"/>
  <c r="V119" i="1"/>
  <c r="M112" i="1"/>
  <c r="L112" i="1"/>
  <c r="K112" i="1"/>
  <c r="M47" i="12"/>
  <c r="M114" i="12" s="1"/>
  <c r="M118" i="12"/>
  <c r="M23" i="12"/>
  <c r="N47" i="12"/>
  <c r="N23" i="12"/>
  <c r="E100" i="1"/>
  <c r="R100" i="1" s="1"/>
  <c r="C103" i="27"/>
  <c r="G103" i="27" s="1"/>
  <c r="J34" i="1"/>
  <c r="Q34" i="1" s="1"/>
  <c r="V49" i="1"/>
  <c r="J173" i="1"/>
  <c r="J170" i="1"/>
  <c r="R170" i="1" s="1"/>
  <c r="E29" i="1"/>
  <c r="R29" i="1"/>
  <c r="G15" i="1"/>
  <c r="I15" i="1"/>
  <c r="L15" i="1"/>
  <c r="M15" i="1"/>
  <c r="J21" i="1"/>
  <c r="Q21" i="1"/>
  <c r="E21" i="1"/>
  <c r="R21" i="1"/>
  <c r="E2484" i="24"/>
  <c r="H2484" i="24"/>
  <c r="C2484" i="24"/>
  <c r="I2484" i="24" s="1"/>
  <c r="E141" i="27"/>
  <c r="F141" i="27" s="1"/>
  <c r="D25" i="37"/>
  <c r="E25" i="37"/>
  <c r="C25" i="37"/>
  <c r="I25" i="37" s="1"/>
  <c r="F156" i="32"/>
  <c r="F166" i="32" s="1"/>
  <c r="G156" i="32"/>
  <c r="E102" i="32"/>
  <c r="F92" i="12" s="1"/>
  <c r="D102" i="32"/>
  <c r="C102" i="32"/>
  <c r="E100" i="32"/>
  <c r="H100" i="32" s="1"/>
  <c r="D100" i="32"/>
  <c r="C100" i="32"/>
  <c r="D1820" i="29"/>
  <c r="D1966" i="29"/>
  <c r="E1966" i="29"/>
  <c r="C1966" i="29"/>
  <c r="J78" i="1"/>
  <c r="J79" i="1"/>
  <c r="E79" i="1"/>
  <c r="R79" i="1" s="1"/>
  <c r="C20" i="37"/>
  <c r="H20" i="37" s="1"/>
  <c r="D20" i="37"/>
  <c r="E20" i="37"/>
  <c r="H33" i="32"/>
  <c r="D1925" i="29"/>
  <c r="E1925" i="29"/>
  <c r="C1925" i="29"/>
  <c r="O47" i="12"/>
  <c r="J228" i="1"/>
  <c r="J96" i="1"/>
  <c r="R96" i="1" s="1"/>
  <c r="I51" i="37"/>
  <c r="I50" i="37"/>
  <c r="I48" i="37"/>
  <c r="G41" i="37"/>
  <c r="F41" i="37"/>
  <c r="F51" i="37" s="1"/>
  <c r="H40" i="37"/>
  <c r="E39" i="37"/>
  <c r="D39" i="37"/>
  <c r="C39" i="37"/>
  <c r="I39" i="37"/>
  <c r="H38" i="37"/>
  <c r="E37" i="37"/>
  <c r="D37" i="37"/>
  <c r="C37" i="37"/>
  <c r="I37" i="37" s="1"/>
  <c r="H36" i="37"/>
  <c r="E35" i="37"/>
  <c r="D35" i="37"/>
  <c r="C35" i="37"/>
  <c r="H34" i="37"/>
  <c r="E33" i="37"/>
  <c r="D33" i="37"/>
  <c r="H33" i="37" s="1"/>
  <c r="C33" i="37"/>
  <c r="I33" i="37" s="1"/>
  <c r="H32" i="37"/>
  <c r="E31" i="37"/>
  <c r="D31" i="37"/>
  <c r="D41" i="37" s="1"/>
  <c r="C31" i="37"/>
  <c r="H30" i="37"/>
  <c r="I8" i="37"/>
  <c r="H8" i="37"/>
  <c r="D1910" i="29"/>
  <c r="D83" i="12"/>
  <c r="E1910" i="29"/>
  <c r="C1910" i="29"/>
  <c r="C142" i="27"/>
  <c r="G142" i="27"/>
  <c r="BV47" i="12"/>
  <c r="BW47" i="12"/>
  <c r="BW114" i="12" s="1"/>
  <c r="BW99" i="12"/>
  <c r="BW23" i="12"/>
  <c r="E229" i="1"/>
  <c r="E230" i="1"/>
  <c r="E318" i="24"/>
  <c r="S268" i="1"/>
  <c r="H27" i="31"/>
  <c r="H26" i="31"/>
  <c r="H25" i="31"/>
  <c r="J62" i="1"/>
  <c r="V197" i="1"/>
  <c r="AR99" i="12"/>
  <c r="AS99" i="12"/>
  <c r="AR47" i="12"/>
  <c r="AR114" i="12"/>
  <c r="AR118" i="12" s="1"/>
  <c r="AS47" i="12"/>
  <c r="AT47" i="12"/>
  <c r="AR23" i="12"/>
  <c r="AS23" i="12"/>
  <c r="AT23" i="12"/>
  <c r="AQ99" i="12"/>
  <c r="AQ47" i="12"/>
  <c r="AQ23" i="12"/>
  <c r="J99" i="1"/>
  <c r="J98" i="1"/>
  <c r="J97" i="1"/>
  <c r="E134" i="1"/>
  <c r="E133" i="1"/>
  <c r="E132" i="1"/>
  <c r="E131" i="1"/>
  <c r="J88" i="1"/>
  <c r="E88" i="1"/>
  <c r="J87" i="1"/>
  <c r="E87" i="1"/>
  <c r="R87" i="1"/>
  <c r="J86" i="1"/>
  <c r="R86" i="1"/>
  <c r="E86" i="1"/>
  <c r="J85" i="1"/>
  <c r="R85" i="1" s="1"/>
  <c r="E85" i="1"/>
  <c r="C1341" i="29"/>
  <c r="D1960" i="29"/>
  <c r="E1960" i="29"/>
  <c r="F1960" i="29"/>
  <c r="G1960" i="29"/>
  <c r="C1960" i="29"/>
  <c r="D1833" i="29"/>
  <c r="D1936" i="29"/>
  <c r="E1936" i="29"/>
  <c r="C1936" i="29"/>
  <c r="F1833" i="29"/>
  <c r="G1833" i="29"/>
  <c r="E1996" i="29"/>
  <c r="D1996" i="29"/>
  <c r="C1996" i="29"/>
  <c r="E1994" i="29"/>
  <c r="D1994" i="29"/>
  <c r="C1994" i="29"/>
  <c r="E1992" i="29"/>
  <c r="D1992" i="29"/>
  <c r="C1992" i="29"/>
  <c r="E1990" i="29"/>
  <c r="D1990" i="29"/>
  <c r="C1990" i="29"/>
  <c r="E1988" i="29"/>
  <c r="D1988" i="29"/>
  <c r="C1988" i="29"/>
  <c r="E1986" i="29"/>
  <c r="D1986" i="29"/>
  <c r="C1986" i="29"/>
  <c r="E1984" i="29"/>
  <c r="D1984" i="29"/>
  <c r="C1984" i="29"/>
  <c r="E1982" i="29"/>
  <c r="D1982" i="29"/>
  <c r="C1982" i="29"/>
  <c r="E1980" i="29"/>
  <c r="D1980" i="29"/>
  <c r="C1980" i="29"/>
  <c r="E1978" i="29"/>
  <c r="D1978" i="29"/>
  <c r="C1978" i="29"/>
  <c r="E1976" i="29"/>
  <c r="D1976" i="29"/>
  <c r="C1976" i="29"/>
  <c r="E1974" i="29"/>
  <c r="D1974" i="29"/>
  <c r="C1974" i="29"/>
  <c r="D1955" i="29"/>
  <c r="D57" i="12"/>
  <c r="E1955" i="29"/>
  <c r="C1955" i="29"/>
  <c r="C1797" i="29"/>
  <c r="D1951" i="29"/>
  <c r="E1951" i="29"/>
  <c r="C1951" i="29"/>
  <c r="D1814" i="29"/>
  <c r="E1814" i="29"/>
  <c r="C1814" i="29"/>
  <c r="D1948" i="29"/>
  <c r="E1948" i="29"/>
  <c r="D1844" i="29"/>
  <c r="E1844" i="29"/>
  <c r="C1844" i="29"/>
  <c r="D1943" i="29"/>
  <c r="E1943" i="29"/>
  <c r="C1943" i="29"/>
  <c r="C1292" i="29"/>
  <c r="G43" i="12" s="1"/>
  <c r="H43" i="12" s="1"/>
  <c r="D1920" i="29"/>
  <c r="E202" i="29"/>
  <c r="C202" i="29"/>
  <c r="D1939" i="29"/>
  <c r="E1939" i="29"/>
  <c r="C1939" i="29"/>
  <c r="D1862" i="29"/>
  <c r="E1862" i="29"/>
  <c r="C1862" i="29"/>
  <c r="J219" i="1"/>
  <c r="E46" i="1"/>
  <c r="R46" i="1" s="1"/>
  <c r="BC23" i="12"/>
  <c r="C121" i="27"/>
  <c r="G121" i="27" s="1"/>
  <c r="J56" i="1"/>
  <c r="E49" i="1"/>
  <c r="C136" i="27"/>
  <c r="G136" i="27" s="1"/>
  <c r="C135" i="27"/>
  <c r="G135" i="27" s="1"/>
  <c r="C134" i="27"/>
  <c r="G134" i="27" s="1"/>
  <c r="C140" i="27"/>
  <c r="E78" i="32"/>
  <c r="D78" i="32"/>
  <c r="C78" i="32"/>
  <c r="D45" i="32"/>
  <c r="D36" i="32"/>
  <c r="D28" i="32"/>
  <c r="E28" i="32"/>
  <c r="I8" i="32"/>
  <c r="C1605" i="29"/>
  <c r="E1816" i="29"/>
  <c r="H1816" i="29" s="1"/>
  <c r="C1816" i="29"/>
  <c r="D1933" i="29"/>
  <c r="E1933" i="29"/>
  <c r="C1933" i="29"/>
  <c r="C1928" i="29"/>
  <c r="D1928" i="29"/>
  <c r="E1928" i="29"/>
  <c r="E1806" i="29"/>
  <c r="H1806" i="29" s="1"/>
  <c r="C1806" i="29"/>
  <c r="E1804" i="29"/>
  <c r="H1804" i="29" s="1"/>
  <c r="C1804" i="29"/>
  <c r="E1803" i="29"/>
  <c r="H1803" i="29" s="1"/>
  <c r="C1803" i="29"/>
  <c r="D1877" i="29"/>
  <c r="E1877" i="29"/>
  <c r="C1877" i="29"/>
  <c r="D1801" i="29"/>
  <c r="E1801" i="29"/>
  <c r="C1801" i="29"/>
  <c r="D1851" i="29"/>
  <c r="D1904" i="29"/>
  <c r="E1904" i="29"/>
  <c r="C1904" i="29"/>
  <c r="F1912" i="29"/>
  <c r="G1912" i="29"/>
  <c r="E1833" i="29"/>
  <c r="D1894" i="29"/>
  <c r="E72" i="1"/>
  <c r="E786" i="29"/>
  <c r="H786" i="29" s="1"/>
  <c r="C786" i="29"/>
  <c r="C297" i="29"/>
  <c r="C1840" i="29"/>
  <c r="C1829" i="29"/>
  <c r="H1829" i="29" s="1"/>
  <c r="C1826" i="29"/>
  <c r="C943" i="29"/>
  <c r="C1907" i="29"/>
  <c r="C748" i="29"/>
  <c r="D1907" i="29"/>
  <c r="E1907" i="29"/>
  <c r="C1866" i="29"/>
  <c r="E16" i="32"/>
  <c r="E32" i="32"/>
  <c r="D32" i="32"/>
  <c r="C32" i="32"/>
  <c r="I32" i="32" s="1"/>
  <c r="E30" i="32"/>
  <c r="D30" i="32"/>
  <c r="C30" i="32"/>
  <c r="D16" i="32"/>
  <c r="E14" i="32"/>
  <c r="D14" i="32"/>
  <c r="C14" i="32"/>
  <c r="I14" i="32" s="1"/>
  <c r="D1866" i="29"/>
  <c r="E1866" i="29"/>
  <c r="F1866" i="29"/>
  <c r="G1866" i="29"/>
  <c r="E1900" i="29"/>
  <c r="C1900" i="29"/>
  <c r="I1900" i="29" s="1"/>
  <c r="E1957" i="29"/>
  <c r="D1957" i="29"/>
  <c r="C1957" i="29"/>
  <c r="E1930" i="29"/>
  <c r="G92" i="12" s="1"/>
  <c r="D1930" i="29"/>
  <c r="C1930" i="29"/>
  <c r="E1922" i="29"/>
  <c r="H1922" i="29" s="1"/>
  <c r="D1922" i="29"/>
  <c r="C1922" i="29"/>
  <c r="E1829" i="29"/>
  <c r="D1829" i="29"/>
  <c r="E1826" i="29"/>
  <c r="G91" i="12"/>
  <c r="H91" i="12" s="1"/>
  <c r="D1826" i="29"/>
  <c r="F24" i="20"/>
  <c r="F23" i="20"/>
  <c r="F26" i="20"/>
  <c r="BO47" i="12"/>
  <c r="BP47" i="12"/>
  <c r="BU99" i="12"/>
  <c r="K99" i="12"/>
  <c r="K114" i="12"/>
  <c r="K118" i="12" s="1"/>
  <c r="L99" i="12"/>
  <c r="N99" i="12"/>
  <c r="P99" i="12"/>
  <c r="P114" i="12" s="1"/>
  <c r="P118" i="12"/>
  <c r="P125" i="12" s="1"/>
  <c r="R99" i="12"/>
  <c r="W99" i="12"/>
  <c r="AB99" i="12"/>
  <c r="AC99" i="12"/>
  <c r="AK99" i="12"/>
  <c r="AK114" i="12" s="1"/>
  <c r="AK118" i="12" s="1"/>
  <c r="BA99" i="12"/>
  <c r="BA114" i="12"/>
  <c r="BA118" i="12" s="1"/>
  <c r="BB99" i="12"/>
  <c r="BB114" i="12" s="1"/>
  <c r="BB118" i="12" s="1"/>
  <c r="BC99" i="12"/>
  <c r="BC114" i="12"/>
  <c r="BC118" i="12" s="1"/>
  <c r="BD99" i="12"/>
  <c r="BD114" i="12" s="1"/>
  <c r="BD118" i="12" s="1"/>
  <c r="BD125" i="12" s="1"/>
  <c r="BE99" i="12"/>
  <c r="BF99" i="12"/>
  <c r="BG99" i="12"/>
  <c r="BK99" i="12"/>
  <c r="BK114" i="12"/>
  <c r="BK118" i="12" s="1"/>
  <c r="BO99" i="12"/>
  <c r="BP99" i="12"/>
  <c r="BP114" i="12"/>
  <c r="BP118" i="12" s="1"/>
  <c r="BV99" i="12"/>
  <c r="BV114" i="12" s="1"/>
  <c r="BV118" i="12" s="1"/>
  <c r="CA99" i="12"/>
  <c r="CA114" i="12"/>
  <c r="CA118" i="12" s="1"/>
  <c r="CG99" i="12"/>
  <c r="CG114" i="12" s="1"/>
  <c r="CG118" i="12" s="1"/>
  <c r="CG125" i="12" s="1"/>
  <c r="BU23" i="12"/>
  <c r="F4292" i="24"/>
  <c r="G4292" i="24"/>
  <c r="D3966" i="24"/>
  <c r="D4002" i="24"/>
  <c r="D4035" i="24"/>
  <c r="E4035" i="24"/>
  <c r="C4035" i="24"/>
  <c r="AB23" i="12"/>
  <c r="AC23" i="12"/>
  <c r="R23" i="12"/>
  <c r="W23" i="12"/>
  <c r="W114" i="12" s="1"/>
  <c r="W118" i="12"/>
  <c r="W125" i="12" s="1"/>
  <c r="R47" i="12"/>
  <c r="W47" i="12"/>
  <c r="Q102" i="12"/>
  <c r="Q103" i="12"/>
  <c r="Q104" i="12"/>
  <c r="Q105" i="12"/>
  <c r="Q106" i="12"/>
  <c r="Q107" i="12"/>
  <c r="Q108" i="12"/>
  <c r="Q113" i="12"/>
  <c r="Q115" i="12"/>
  <c r="CI115" i="12" s="1"/>
  <c r="Q116" i="12"/>
  <c r="CI116" i="12"/>
  <c r="C129" i="27"/>
  <c r="G129" i="27" s="1"/>
  <c r="G200" i="1"/>
  <c r="H200" i="1"/>
  <c r="I200" i="1"/>
  <c r="L200" i="1"/>
  <c r="M200" i="1"/>
  <c r="P200" i="1"/>
  <c r="E207" i="1"/>
  <c r="R207" i="1" s="1"/>
  <c r="J166" i="1"/>
  <c r="E167" i="1"/>
  <c r="E168" i="1"/>
  <c r="E169" i="1"/>
  <c r="R169" i="1"/>
  <c r="E171" i="1"/>
  <c r="J169" i="1"/>
  <c r="J187" i="1"/>
  <c r="J182" i="1"/>
  <c r="R182" i="1" s="1"/>
  <c r="J193" i="1"/>
  <c r="J194" i="1"/>
  <c r="J195" i="1"/>
  <c r="E192" i="1"/>
  <c r="Q192" i="1" s="1"/>
  <c r="E188" i="1"/>
  <c r="R188" i="1" s="1"/>
  <c r="V183" i="1"/>
  <c r="E180" i="1"/>
  <c r="R180" i="1" s="1"/>
  <c r="J180" i="1"/>
  <c r="E178" i="1"/>
  <c r="E179" i="1"/>
  <c r="R179" i="1" s="1"/>
  <c r="J179" i="1"/>
  <c r="J117" i="1"/>
  <c r="V172" i="1"/>
  <c r="J82" i="1"/>
  <c r="V176" i="1"/>
  <c r="J93" i="1"/>
  <c r="E93" i="1"/>
  <c r="R93" i="1" s="1"/>
  <c r="E3570" i="24"/>
  <c r="P112" i="1"/>
  <c r="C96" i="29"/>
  <c r="E96" i="29"/>
  <c r="E943" i="29"/>
  <c r="D1901" i="29"/>
  <c r="C1823" i="29"/>
  <c r="F1820" i="29"/>
  <c r="G1820" i="29"/>
  <c r="D1811" i="29"/>
  <c r="F1811" i="29"/>
  <c r="G1811" i="29"/>
  <c r="D1088" i="29"/>
  <c r="D1823" i="29"/>
  <c r="E1823" i="29"/>
  <c r="G62" i="12" s="1"/>
  <c r="H62" i="12" s="1"/>
  <c r="F1844" i="29"/>
  <c r="G1844" i="29"/>
  <c r="E204" i="1"/>
  <c r="E205" i="1"/>
  <c r="E206" i="1"/>
  <c r="J206" i="1"/>
  <c r="J155" i="1"/>
  <c r="E155" i="1"/>
  <c r="C122" i="27"/>
  <c r="G122" i="27"/>
  <c r="E98" i="1"/>
  <c r="R98" i="1" s="1"/>
  <c r="R13" i="1"/>
  <c r="C76" i="27"/>
  <c r="G76" i="27"/>
  <c r="C75" i="27"/>
  <c r="G75" i="27"/>
  <c r="C74" i="27"/>
  <c r="G74" i="27"/>
  <c r="BG47" i="12"/>
  <c r="BV23" i="12"/>
  <c r="BG23" i="12"/>
  <c r="BH113" i="12"/>
  <c r="BH108" i="12"/>
  <c r="BH107" i="12"/>
  <c r="BH106" i="12"/>
  <c r="BH105" i="12"/>
  <c r="BH104" i="12"/>
  <c r="AB47" i="12"/>
  <c r="AC47" i="12"/>
  <c r="BD23" i="12"/>
  <c r="BE23" i="12"/>
  <c r="BF23" i="12"/>
  <c r="BO23" i="12"/>
  <c r="BP23" i="12"/>
  <c r="BC47" i="12"/>
  <c r="BD47" i="12"/>
  <c r="BE47" i="12"/>
  <c r="BF47" i="12"/>
  <c r="BF114" i="12" s="1"/>
  <c r="BF118" i="12" s="1"/>
  <c r="E4070" i="24"/>
  <c r="D4070" i="24"/>
  <c r="C4070" i="24"/>
  <c r="E3966" i="24"/>
  <c r="I3966" i="24" s="1"/>
  <c r="C3966" i="24"/>
  <c r="E3931" i="24"/>
  <c r="D3931" i="24"/>
  <c r="C3931" i="24"/>
  <c r="E3896" i="24"/>
  <c r="D3896" i="24"/>
  <c r="C3896" i="24"/>
  <c r="E3861" i="24"/>
  <c r="D3861" i="24"/>
  <c r="C3861" i="24"/>
  <c r="I3861" i="24" s="1"/>
  <c r="E3640" i="24"/>
  <c r="H3640" i="24" s="1"/>
  <c r="D3640" i="24"/>
  <c r="C3640" i="24"/>
  <c r="E3605" i="24"/>
  <c r="H3605" i="24" s="1"/>
  <c r="D3605" i="24"/>
  <c r="C3605" i="24"/>
  <c r="I3605" i="24"/>
  <c r="D3570" i="24"/>
  <c r="E3535" i="24"/>
  <c r="D3535" i="24"/>
  <c r="C3535" i="24"/>
  <c r="E3500" i="24"/>
  <c r="D3500" i="24"/>
  <c r="C3500" i="24"/>
  <c r="H3500" i="24"/>
  <c r="E3465" i="24"/>
  <c r="D3465" i="24"/>
  <c r="C3465" i="24"/>
  <c r="I3465" i="24"/>
  <c r="E3430" i="24"/>
  <c r="D3430" i="24"/>
  <c r="C3430" i="24"/>
  <c r="I3430" i="24"/>
  <c r="E3395" i="24"/>
  <c r="D3395" i="24"/>
  <c r="C3395" i="24"/>
  <c r="E3360" i="24"/>
  <c r="D3360" i="24"/>
  <c r="C3360" i="24"/>
  <c r="E3325" i="24"/>
  <c r="D3325" i="24"/>
  <c r="C3325" i="24"/>
  <c r="E3290" i="24"/>
  <c r="D3290" i="24"/>
  <c r="C3290" i="24"/>
  <c r="E3255" i="24"/>
  <c r="D3255" i="24"/>
  <c r="C3255" i="24"/>
  <c r="E3220" i="24"/>
  <c r="D3220" i="24"/>
  <c r="E3185" i="24"/>
  <c r="D3185" i="24"/>
  <c r="C3185" i="24"/>
  <c r="E3150" i="24"/>
  <c r="D3150" i="24"/>
  <c r="C3150" i="24"/>
  <c r="E3115" i="24"/>
  <c r="D3115" i="24"/>
  <c r="C3115" i="24"/>
  <c r="I3115" i="24"/>
  <c r="E3080" i="24"/>
  <c r="D3080" i="24"/>
  <c r="C3080" i="24"/>
  <c r="E3028" i="24"/>
  <c r="D3028" i="24"/>
  <c r="E2993" i="24"/>
  <c r="D2993" i="24"/>
  <c r="C2993" i="24"/>
  <c r="I2993" i="24" s="1"/>
  <c r="D2958" i="24"/>
  <c r="C2958" i="24"/>
  <c r="I2958" i="24"/>
  <c r="E2923" i="24"/>
  <c r="C2923" i="24"/>
  <c r="E2888" i="24"/>
  <c r="D2888" i="24"/>
  <c r="C2888" i="24"/>
  <c r="I2888" i="24" s="1"/>
  <c r="E2853" i="24"/>
  <c r="D2853" i="24"/>
  <c r="C2853" i="24"/>
  <c r="D2818" i="24"/>
  <c r="C2818" i="24"/>
  <c r="E2670" i="24"/>
  <c r="D2670" i="24"/>
  <c r="C2670" i="24"/>
  <c r="I2670" i="24"/>
  <c r="E2621" i="24"/>
  <c r="D2621" i="24"/>
  <c r="C2621" i="24"/>
  <c r="I2621" i="24"/>
  <c r="G2586" i="24"/>
  <c r="F2586" i="24"/>
  <c r="E2586" i="24"/>
  <c r="D2586" i="24"/>
  <c r="C2586" i="24"/>
  <c r="E2551" i="24"/>
  <c r="D2551" i="24"/>
  <c r="C2551" i="24"/>
  <c r="I2551" i="24" s="1"/>
  <c r="E2548" i="24"/>
  <c r="D2548" i="24"/>
  <c r="C2548" i="24"/>
  <c r="E2483" i="24"/>
  <c r="D2483" i="24"/>
  <c r="C2483" i="24"/>
  <c r="I2483" i="24" s="1"/>
  <c r="D2473" i="24"/>
  <c r="C2473" i="24"/>
  <c r="E2441" i="24"/>
  <c r="D2441" i="24"/>
  <c r="C2441" i="24"/>
  <c r="E2438" i="24"/>
  <c r="H2438" i="24"/>
  <c r="D2438" i="24"/>
  <c r="C2438" i="24"/>
  <c r="E2432" i="24"/>
  <c r="D2432" i="24"/>
  <c r="C2432" i="24"/>
  <c r="G2425" i="24"/>
  <c r="F2425" i="24"/>
  <c r="E2425" i="24"/>
  <c r="D2425" i="24"/>
  <c r="C2425" i="24"/>
  <c r="G2353" i="24"/>
  <c r="F2353" i="24"/>
  <c r="G2212" i="24"/>
  <c r="F2212" i="24"/>
  <c r="E2212" i="24"/>
  <c r="D2212" i="24"/>
  <c r="C2212" i="24"/>
  <c r="G2133" i="24"/>
  <c r="F2133" i="24"/>
  <c r="D2133" i="24"/>
  <c r="G2047" i="24"/>
  <c r="F2047" i="24"/>
  <c r="D2047" i="24"/>
  <c r="G1970" i="24"/>
  <c r="F1970" i="24"/>
  <c r="E1970" i="24"/>
  <c r="D1970" i="24"/>
  <c r="C1970" i="24"/>
  <c r="I1970" i="24" s="1"/>
  <c r="G1876" i="24"/>
  <c r="F1876" i="24"/>
  <c r="E1876" i="24"/>
  <c r="I1876" i="24" s="1"/>
  <c r="D1876" i="24"/>
  <c r="C1876" i="24"/>
  <c r="G1781" i="24"/>
  <c r="F1781" i="24"/>
  <c r="E1781" i="24"/>
  <c r="D1781" i="24"/>
  <c r="G1584" i="24"/>
  <c r="F1584" i="24"/>
  <c r="D1584" i="24"/>
  <c r="C1584" i="24"/>
  <c r="I1584" i="24"/>
  <c r="G1535" i="24"/>
  <c r="F1535" i="24"/>
  <c r="E1535" i="24"/>
  <c r="D1535" i="24"/>
  <c r="C1535" i="24"/>
  <c r="I1535" i="24" s="1"/>
  <c r="G1457" i="24"/>
  <c r="F1457" i="24"/>
  <c r="E1457" i="24"/>
  <c r="D1457" i="24"/>
  <c r="C1457" i="24"/>
  <c r="I1457" i="24"/>
  <c r="G1387" i="24"/>
  <c r="F1387" i="24"/>
  <c r="D1387" i="24"/>
  <c r="G1265" i="24"/>
  <c r="F1265" i="24"/>
  <c r="E1265" i="24"/>
  <c r="D1265" i="24"/>
  <c r="G1166" i="24"/>
  <c r="F1166" i="24"/>
  <c r="E1166" i="24"/>
  <c r="D1166" i="24"/>
  <c r="C1166" i="24"/>
  <c r="G1099" i="24"/>
  <c r="F1099" i="24"/>
  <c r="E1099" i="24"/>
  <c r="H1099" i="24" s="1"/>
  <c r="D1099" i="24"/>
  <c r="C1099" i="24"/>
  <c r="G999" i="24"/>
  <c r="F999" i="24"/>
  <c r="G919" i="24"/>
  <c r="F919" i="24"/>
  <c r="E919" i="24"/>
  <c r="D919" i="24"/>
  <c r="C919" i="24"/>
  <c r="G880" i="24"/>
  <c r="F880" i="24"/>
  <c r="E880" i="24"/>
  <c r="D880" i="24"/>
  <c r="C880" i="24"/>
  <c r="G819" i="24"/>
  <c r="F819" i="24"/>
  <c r="E819" i="24"/>
  <c r="D819" i="24"/>
  <c r="C819" i="24"/>
  <c r="I819" i="24" s="1"/>
  <c r="G765" i="24"/>
  <c r="F765" i="24"/>
  <c r="E765" i="24"/>
  <c r="I765" i="24" s="1"/>
  <c r="D765" i="24"/>
  <c r="C765" i="24"/>
  <c r="G724" i="24"/>
  <c r="F724" i="24"/>
  <c r="E724" i="24"/>
  <c r="D724" i="24"/>
  <c r="C724" i="24"/>
  <c r="I724" i="24" s="1"/>
  <c r="G675" i="24"/>
  <c r="F675" i="24"/>
  <c r="E675" i="24"/>
  <c r="D675" i="24"/>
  <c r="C675" i="24"/>
  <c r="G615" i="24"/>
  <c r="F615" i="24"/>
  <c r="E615" i="24"/>
  <c r="D615" i="24"/>
  <c r="C615" i="24"/>
  <c r="I615" i="24"/>
  <c r="E562" i="24"/>
  <c r="D562" i="24"/>
  <c r="C562" i="24"/>
  <c r="G474" i="24"/>
  <c r="F474" i="24"/>
  <c r="D474" i="24"/>
  <c r="C474" i="24"/>
  <c r="I474" i="24"/>
  <c r="G434" i="24"/>
  <c r="F434" i="24"/>
  <c r="D318" i="24"/>
  <c r="G191" i="24"/>
  <c r="F191" i="24"/>
  <c r="E191" i="24"/>
  <c r="D191" i="24"/>
  <c r="C191" i="24"/>
  <c r="I8" i="24"/>
  <c r="H8" i="24"/>
  <c r="E240" i="1"/>
  <c r="J250" i="1"/>
  <c r="Q250" i="1"/>
  <c r="E250" i="1"/>
  <c r="E44" i="1"/>
  <c r="R44" i="1"/>
  <c r="E45" i="1"/>
  <c r="R45" i="1" s="1"/>
  <c r="F231" i="1"/>
  <c r="G231" i="1"/>
  <c r="I231" i="1"/>
  <c r="K231" i="1"/>
  <c r="L231" i="1"/>
  <c r="M231" i="1"/>
  <c r="N231" i="1"/>
  <c r="O231" i="1"/>
  <c r="P231" i="1"/>
  <c r="J234" i="1"/>
  <c r="E234" i="1"/>
  <c r="E232" i="1" s="1"/>
  <c r="R232" i="1" s="1"/>
  <c r="J221" i="1"/>
  <c r="R221" i="1" s="1"/>
  <c r="S221" i="1" s="1"/>
  <c r="J220" i="1"/>
  <c r="E220" i="1"/>
  <c r="G208" i="1"/>
  <c r="H208" i="1"/>
  <c r="I208" i="1"/>
  <c r="K208" i="1"/>
  <c r="L208" i="1"/>
  <c r="M208" i="1"/>
  <c r="J210" i="1"/>
  <c r="E193" i="1"/>
  <c r="R193" i="1"/>
  <c r="E190" i="1"/>
  <c r="E187" i="1"/>
  <c r="E183" i="1"/>
  <c r="E139" i="1"/>
  <c r="E138" i="1"/>
  <c r="J139" i="1"/>
  <c r="J138" i="1"/>
  <c r="J128" i="1" s="1"/>
  <c r="J136" i="1"/>
  <c r="E136" i="1"/>
  <c r="R136" i="1"/>
  <c r="F112" i="1"/>
  <c r="G112" i="1"/>
  <c r="H112" i="1"/>
  <c r="I112" i="1"/>
  <c r="O112" i="1"/>
  <c r="J123" i="1"/>
  <c r="J125" i="1"/>
  <c r="J126" i="1"/>
  <c r="J127" i="1"/>
  <c r="E125" i="1"/>
  <c r="R125" i="1"/>
  <c r="E126" i="1"/>
  <c r="E127" i="1"/>
  <c r="R127" i="1" s="1"/>
  <c r="J122" i="1"/>
  <c r="E122" i="1"/>
  <c r="R122" i="1" s="1"/>
  <c r="F105" i="1"/>
  <c r="G105" i="1"/>
  <c r="H105" i="1"/>
  <c r="I105" i="1"/>
  <c r="K105" i="1"/>
  <c r="L105" i="1"/>
  <c r="M105" i="1"/>
  <c r="J110" i="1"/>
  <c r="E110" i="1"/>
  <c r="R110" i="1" s="1"/>
  <c r="J104" i="1"/>
  <c r="E104" i="1"/>
  <c r="R104" i="1"/>
  <c r="S104" i="1" s="1"/>
  <c r="E97" i="1"/>
  <c r="R97" i="1"/>
  <c r="J19" i="1"/>
  <c r="E19" i="1"/>
  <c r="BX113" i="12"/>
  <c r="CI113" i="12" s="1"/>
  <c r="BX108" i="12"/>
  <c r="BX107" i="12"/>
  <c r="BX106" i="12"/>
  <c r="BX105" i="12"/>
  <c r="CI105" i="12" s="1"/>
  <c r="BX104" i="12"/>
  <c r="BX100" i="12"/>
  <c r="E121" i="1"/>
  <c r="R121" i="1"/>
  <c r="S121" i="1" s="1"/>
  <c r="J121" i="1"/>
  <c r="Q121" i="1" s="1"/>
  <c r="J54" i="1"/>
  <c r="E54" i="1"/>
  <c r="J211" i="1"/>
  <c r="J212" i="1"/>
  <c r="E197" i="1"/>
  <c r="J189" i="1"/>
  <c r="E189" i="1"/>
  <c r="R189" i="1" s="1"/>
  <c r="E90" i="1"/>
  <c r="R90" i="1" s="1"/>
  <c r="E84" i="1"/>
  <c r="R84" i="1" s="1"/>
  <c r="G25" i="1"/>
  <c r="H25" i="1"/>
  <c r="I25" i="1"/>
  <c r="K25" i="1"/>
  <c r="L25" i="1"/>
  <c r="M25" i="1"/>
  <c r="G26" i="1"/>
  <c r="H26" i="1"/>
  <c r="I26" i="1"/>
  <c r="K26" i="1"/>
  <c r="L26" i="1"/>
  <c r="M26" i="1"/>
  <c r="E28" i="1"/>
  <c r="J248" i="1"/>
  <c r="J94" i="1"/>
  <c r="Q94" i="1" s="1"/>
  <c r="D1889" i="29"/>
  <c r="D90" i="12" s="1"/>
  <c r="C1889" i="29"/>
  <c r="D1859" i="29"/>
  <c r="E1859" i="29"/>
  <c r="G68" i="12" s="1"/>
  <c r="C1859" i="29"/>
  <c r="C1413" i="29"/>
  <c r="E109" i="1"/>
  <c r="J109" i="1"/>
  <c r="E244" i="1"/>
  <c r="R244" i="1"/>
  <c r="D1836" i="29"/>
  <c r="E1836" i="29"/>
  <c r="C1836" i="29"/>
  <c r="D1896" i="29"/>
  <c r="E1896" i="29"/>
  <c r="C1896" i="29"/>
  <c r="J168" i="1"/>
  <c r="Q168" i="1" s="1"/>
  <c r="D68" i="27"/>
  <c r="D67" i="27"/>
  <c r="J174" i="1"/>
  <c r="Q174" i="1" s="1"/>
  <c r="CE18" i="12"/>
  <c r="CE23" i="12" s="1"/>
  <c r="CE114" i="12" s="1"/>
  <c r="CF117" i="12"/>
  <c r="N214" i="1"/>
  <c r="V214" i="1" s="1"/>
  <c r="F1889" i="29"/>
  <c r="G1889" i="29"/>
  <c r="F1894" i="29"/>
  <c r="G1894" i="29"/>
  <c r="G1883" i="29"/>
  <c r="F1883" i="29"/>
  <c r="E1883" i="29"/>
  <c r="D1883" i="29"/>
  <c r="C1883" i="29"/>
  <c r="E241" i="1"/>
  <c r="R241" i="1"/>
  <c r="E22" i="1"/>
  <c r="E20" i="1"/>
  <c r="J18" i="1"/>
  <c r="R18" i="1" s="1"/>
  <c r="J22" i="1"/>
  <c r="J17" i="1"/>
  <c r="J20" i="1"/>
  <c r="E27" i="1"/>
  <c r="J27" i="1"/>
  <c r="E32" i="1"/>
  <c r="R32" i="1" s="1"/>
  <c r="S32" i="1" s="1"/>
  <c r="E33" i="1"/>
  <c r="E35" i="1"/>
  <c r="R35" i="1" s="1"/>
  <c r="E36" i="1"/>
  <c r="R36" i="1"/>
  <c r="S36" i="1" s="1"/>
  <c r="E38" i="1"/>
  <c r="E39" i="1"/>
  <c r="E40" i="1"/>
  <c r="E41" i="1"/>
  <c r="E42" i="1"/>
  <c r="R42" i="1" s="1"/>
  <c r="Q42" i="1"/>
  <c r="E43" i="1"/>
  <c r="R43" i="1" s="1"/>
  <c r="E37" i="1"/>
  <c r="J32" i="1"/>
  <c r="Q32" i="1" s="1"/>
  <c r="J33" i="1"/>
  <c r="J35" i="1"/>
  <c r="Q35" i="1"/>
  <c r="S35" i="1" s="1"/>
  <c r="J39" i="1"/>
  <c r="J40" i="1"/>
  <c r="J41" i="1"/>
  <c r="E137" i="1"/>
  <c r="E140" i="1"/>
  <c r="E142" i="1"/>
  <c r="R142" i="1" s="1"/>
  <c r="S142" i="1" s="1"/>
  <c r="E143" i="1"/>
  <c r="E141" i="1"/>
  <c r="E144" i="1"/>
  <c r="E151" i="1"/>
  <c r="R151" i="1" s="1"/>
  <c r="E145" i="1"/>
  <c r="E149" i="1"/>
  <c r="R149" i="1" s="1"/>
  <c r="E152" i="1"/>
  <c r="R152" i="1"/>
  <c r="S152" i="1" s="1"/>
  <c r="E150" i="1"/>
  <c r="E147" i="1"/>
  <c r="Q147" i="1" s="1"/>
  <c r="R147" i="1"/>
  <c r="S147" i="1" s="1"/>
  <c r="E148" i="1"/>
  <c r="J132" i="1"/>
  <c r="R132" i="1" s="1"/>
  <c r="J135" i="1"/>
  <c r="Q135" i="1"/>
  <c r="J133" i="1"/>
  <c r="R133" i="1" s="1"/>
  <c r="J134" i="1"/>
  <c r="R134" i="1" s="1"/>
  <c r="J137" i="1"/>
  <c r="J140" i="1"/>
  <c r="J142" i="1"/>
  <c r="J143" i="1"/>
  <c r="J141" i="1"/>
  <c r="Q141" i="1"/>
  <c r="J151" i="1"/>
  <c r="J145" i="1"/>
  <c r="Q145" i="1" s="1"/>
  <c r="J149" i="1"/>
  <c r="J150" i="1"/>
  <c r="Q150" i="1"/>
  <c r="J147" i="1"/>
  <c r="J148" i="1"/>
  <c r="Q148" i="1"/>
  <c r="E53" i="1"/>
  <c r="E55" i="1"/>
  <c r="R55" i="1"/>
  <c r="E57" i="1"/>
  <c r="E59" i="1"/>
  <c r="E60" i="1"/>
  <c r="E61" i="1"/>
  <c r="E64" i="1"/>
  <c r="E65" i="1"/>
  <c r="R65" i="1" s="1"/>
  <c r="E68" i="1"/>
  <c r="E66" i="1"/>
  <c r="E67" i="1"/>
  <c r="R67" i="1" s="1"/>
  <c r="E58" i="1"/>
  <c r="R58" i="1"/>
  <c r="E73" i="1"/>
  <c r="J55" i="1"/>
  <c r="J59" i="1"/>
  <c r="J60" i="1"/>
  <c r="J61" i="1"/>
  <c r="Q61" i="1" s="1"/>
  <c r="J65" i="1"/>
  <c r="J68" i="1"/>
  <c r="J66" i="1"/>
  <c r="J67" i="1"/>
  <c r="Q67" i="1"/>
  <c r="J58" i="1"/>
  <c r="J72" i="1"/>
  <c r="Q72" i="1"/>
  <c r="J73" i="1"/>
  <c r="Q73" i="1" s="1"/>
  <c r="J74" i="1"/>
  <c r="J75" i="1"/>
  <c r="E81" i="1"/>
  <c r="E94" i="1"/>
  <c r="E91" i="1"/>
  <c r="R91" i="1" s="1"/>
  <c r="E92" i="1"/>
  <c r="R92" i="1"/>
  <c r="E80" i="1"/>
  <c r="R80" i="1" s="1"/>
  <c r="J80" i="1"/>
  <c r="J84" i="1"/>
  <c r="J101" i="1"/>
  <c r="J77" i="1" s="1"/>
  <c r="E108" i="1"/>
  <c r="R108" i="1" s="1"/>
  <c r="S108" i="1" s="1"/>
  <c r="E111" i="1"/>
  <c r="J107" i="1"/>
  <c r="J108" i="1"/>
  <c r="E115" i="1"/>
  <c r="E117" i="1"/>
  <c r="E119" i="1"/>
  <c r="E120" i="1"/>
  <c r="E116" i="1"/>
  <c r="E124" i="1"/>
  <c r="R124" i="1" s="1"/>
  <c r="S124" i="1" s="1"/>
  <c r="E123" i="1"/>
  <c r="R123" i="1"/>
  <c r="S123" i="1" s="1"/>
  <c r="J118" i="1"/>
  <c r="J116" i="1"/>
  <c r="J124" i="1"/>
  <c r="Q124" i="1" s="1"/>
  <c r="E185" i="1"/>
  <c r="R185" i="1"/>
  <c r="E165" i="1"/>
  <c r="E166" i="1"/>
  <c r="E162" i="1"/>
  <c r="E177" i="1"/>
  <c r="R177" i="1" s="1"/>
  <c r="E173" i="1"/>
  <c r="Q173" i="1"/>
  <c r="E174" i="1"/>
  <c r="E158" i="1"/>
  <c r="E184" i="1"/>
  <c r="E181" i="1"/>
  <c r="R181" i="1" s="1"/>
  <c r="E176" i="1"/>
  <c r="R176" i="1"/>
  <c r="E164" i="1"/>
  <c r="R164" i="1" s="1"/>
  <c r="E196" i="1"/>
  <c r="R196" i="1"/>
  <c r="E199" i="1"/>
  <c r="R199" i="1" s="1"/>
  <c r="E198" i="1"/>
  <c r="R198" i="1"/>
  <c r="J185" i="1"/>
  <c r="Q185" i="1" s="1"/>
  <c r="J164" i="1"/>
  <c r="E202" i="1"/>
  <c r="R202" i="1" s="1"/>
  <c r="J215" i="1"/>
  <c r="R215" i="1" s="1"/>
  <c r="E228" i="1"/>
  <c r="Q228" i="1"/>
  <c r="E226" i="1"/>
  <c r="E227" i="1"/>
  <c r="J230" i="1"/>
  <c r="E223" i="1"/>
  <c r="J222" i="1"/>
  <c r="J223" i="1"/>
  <c r="E239" i="1"/>
  <c r="E242" i="1"/>
  <c r="R242" i="1" s="1"/>
  <c r="S242" i="1" s="1"/>
  <c r="E248" i="1"/>
  <c r="R248" i="1" s="1"/>
  <c r="Q248" i="1"/>
  <c r="E247" i="1"/>
  <c r="R247" i="1" s="1"/>
  <c r="J239" i="1"/>
  <c r="J243" i="1"/>
  <c r="J241" i="1"/>
  <c r="Q241" i="1" s="1"/>
  <c r="J242" i="1"/>
  <c r="Q242" i="1"/>
  <c r="J245" i="1"/>
  <c r="J249" i="1"/>
  <c r="J247" i="1"/>
  <c r="J246" i="1"/>
  <c r="J244" i="1"/>
  <c r="Q244" i="1" s="1"/>
  <c r="C13" i="20"/>
  <c r="D96" i="29"/>
  <c r="E125" i="29"/>
  <c r="D125" i="29"/>
  <c r="C125" i="29"/>
  <c r="E158" i="29"/>
  <c r="I158" i="29" s="1"/>
  <c r="D158" i="29"/>
  <c r="C158" i="29"/>
  <c r="E201" i="29"/>
  <c r="D201" i="29"/>
  <c r="C201" i="29"/>
  <c r="D244" i="29"/>
  <c r="E297" i="29"/>
  <c r="G24" i="12"/>
  <c r="H24" i="12" s="1"/>
  <c r="D297" i="29"/>
  <c r="D24" i="12" s="1"/>
  <c r="D372" i="29"/>
  <c r="E413" i="29"/>
  <c r="D413" i="29"/>
  <c r="C413" i="29"/>
  <c r="E446" i="29"/>
  <c r="D446" i="29"/>
  <c r="I446" i="29" s="1"/>
  <c r="C446" i="29"/>
  <c r="D496" i="29"/>
  <c r="D29" i="12"/>
  <c r="E535" i="29"/>
  <c r="D535" i="29"/>
  <c r="C535" i="29"/>
  <c r="E627" i="29"/>
  <c r="D627" i="29"/>
  <c r="E659" i="29"/>
  <c r="D659" i="29"/>
  <c r="E703" i="29"/>
  <c r="G32" i="12"/>
  <c r="D703" i="29"/>
  <c r="D32" i="12" s="1"/>
  <c r="C703" i="29"/>
  <c r="E748" i="29"/>
  <c r="D748" i="29"/>
  <c r="D943" i="29"/>
  <c r="E1022" i="29"/>
  <c r="D1022" i="29"/>
  <c r="C1022" i="29"/>
  <c r="D1051" i="29"/>
  <c r="C1051" i="29"/>
  <c r="E1136" i="29"/>
  <c r="D1136" i="29"/>
  <c r="C1136" i="29"/>
  <c r="G40" i="12"/>
  <c r="H40" i="12"/>
  <c r="E1215" i="29"/>
  <c r="D1215" i="29"/>
  <c r="C1215" i="29"/>
  <c r="D1265" i="29"/>
  <c r="E1292" i="29"/>
  <c r="D1292" i="29"/>
  <c r="E1341" i="29"/>
  <c r="D1341" i="29"/>
  <c r="E1366" i="29"/>
  <c r="C1366" i="29"/>
  <c r="D1413" i="29"/>
  <c r="D46" i="12"/>
  <c r="H46" i="12" s="1"/>
  <c r="E1461" i="29"/>
  <c r="D1461" i="29"/>
  <c r="C1461" i="29"/>
  <c r="E1509" i="29"/>
  <c r="G48" i="12" s="1"/>
  <c r="H48" i="12" s="1"/>
  <c r="D1509" i="29"/>
  <c r="C1509" i="29"/>
  <c r="H1509" i="29" s="1"/>
  <c r="E1557" i="29"/>
  <c r="D1557" i="29"/>
  <c r="C1557" i="29"/>
  <c r="E1605" i="29"/>
  <c r="I1605" i="29" s="1"/>
  <c r="D1605" i="29"/>
  <c r="D1653" i="29"/>
  <c r="D1701" i="29"/>
  <c r="E1749" i="29"/>
  <c r="H1749" i="29" s="1"/>
  <c r="D1749" i="29"/>
  <c r="C1749" i="29"/>
  <c r="E1797" i="29"/>
  <c r="G60" i="12"/>
  <c r="H60" i="12" s="1"/>
  <c r="D1797" i="29"/>
  <c r="E1840" i="29"/>
  <c r="G77" i="12"/>
  <c r="D1840" i="29"/>
  <c r="E1868" i="29"/>
  <c r="D1868" i="29"/>
  <c r="C1868" i="29"/>
  <c r="I1868" i="29" s="1"/>
  <c r="E1870" i="29"/>
  <c r="D1870" i="29"/>
  <c r="C1870" i="29"/>
  <c r="E1872" i="29"/>
  <c r="D1872" i="29"/>
  <c r="C1872" i="29"/>
  <c r="E1879" i="29"/>
  <c r="D1879" i="29"/>
  <c r="C1879" i="29"/>
  <c r="E1881" i="29"/>
  <c r="D1881" i="29"/>
  <c r="C1881" i="29"/>
  <c r="C131" i="27"/>
  <c r="G131" i="27" s="1"/>
  <c r="C47" i="27"/>
  <c r="G47" i="27"/>
  <c r="E46" i="27"/>
  <c r="C45" i="27"/>
  <c r="G45" i="27" s="1"/>
  <c r="J199" i="1"/>
  <c r="C118" i="27"/>
  <c r="G118" i="27" s="1"/>
  <c r="I8" i="29"/>
  <c r="E82" i="1"/>
  <c r="R82" i="1" s="1"/>
  <c r="P214" i="1"/>
  <c r="P213" i="1"/>
  <c r="D41" i="27"/>
  <c r="E41" i="27"/>
  <c r="E40" i="27" s="1"/>
  <c r="F46" i="27"/>
  <c r="D46" i="27"/>
  <c r="D40" i="27" s="1"/>
  <c r="D11" i="27"/>
  <c r="D109" i="27"/>
  <c r="C109" i="27" s="1"/>
  <c r="G109" i="27" s="1"/>
  <c r="C110" i="27"/>
  <c r="G110" i="27" s="1"/>
  <c r="D112" i="27"/>
  <c r="C112" i="27"/>
  <c r="G112" i="27"/>
  <c r="D113" i="27"/>
  <c r="C113" i="27" s="1"/>
  <c r="G113" i="27" s="1"/>
  <c r="D114" i="27"/>
  <c r="C114" i="27" s="1"/>
  <c r="D120" i="27"/>
  <c r="C120" i="27" s="1"/>
  <c r="G120" i="27" s="1"/>
  <c r="D124" i="27"/>
  <c r="C124" i="27" s="1"/>
  <c r="G124" i="27" s="1"/>
  <c r="C125" i="27"/>
  <c r="G125" i="27" s="1"/>
  <c r="D127" i="27"/>
  <c r="C127" i="27" s="1"/>
  <c r="G127" i="27" s="1"/>
  <c r="D88" i="27"/>
  <c r="E88" i="27"/>
  <c r="H213" i="1"/>
  <c r="C111" i="27"/>
  <c r="G111" i="27"/>
  <c r="C126" i="27"/>
  <c r="G126" i="27" s="1"/>
  <c r="F158" i="29"/>
  <c r="F496" i="29"/>
  <c r="F605" i="29"/>
  <c r="F627" i="29"/>
  <c r="F659" i="29"/>
  <c r="F703" i="29"/>
  <c r="F1136" i="29"/>
  <c r="F1215" i="29"/>
  <c r="F1366" i="29"/>
  <c r="F1413" i="29"/>
  <c r="F1509" i="29"/>
  <c r="F1557" i="29"/>
  <c r="F1653" i="29"/>
  <c r="F1605" i="29"/>
  <c r="F908" i="29"/>
  <c r="F943" i="29"/>
  <c r="F1088" i="29"/>
  <c r="F1701" i="29"/>
  <c r="F1749" i="29"/>
  <c r="F1797" i="29"/>
  <c r="F372" i="29"/>
  <c r="G158" i="29"/>
  <c r="G496" i="29"/>
  <c r="G605" i="29"/>
  <c r="G627" i="29"/>
  <c r="G659" i="29"/>
  <c r="G703" i="29"/>
  <c r="G1136" i="29"/>
  <c r="G1215" i="29"/>
  <c r="G1366" i="29"/>
  <c r="G1413" i="29"/>
  <c r="G1509" i="29"/>
  <c r="G1557" i="29"/>
  <c r="G1653" i="29"/>
  <c r="G1605" i="29"/>
  <c r="G908" i="29"/>
  <c r="G943" i="29"/>
  <c r="G1088" i="29"/>
  <c r="G1701" i="29"/>
  <c r="G1749" i="29"/>
  <c r="G1797" i="29"/>
  <c r="G372" i="29"/>
  <c r="G1859" i="29"/>
  <c r="F1859" i="29"/>
  <c r="G1851" i="29"/>
  <c r="F1851" i="29"/>
  <c r="C87" i="27"/>
  <c r="G87" i="27" s="1"/>
  <c r="C93" i="27"/>
  <c r="G93" i="27" s="1"/>
  <c r="C94" i="27"/>
  <c r="G94" i="27"/>
  <c r="C97" i="27"/>
  <c r="G97" i="27" s="1"/>
  <c r="C98" i="27"/>
  <c r="G98" i="27"/>
  <c r="C147" i="27"/>
  <c r="G147" i="27" s="1"/>
  <c r="C133" i="27"/>
  <c r="G133" i="27"/>
  <c r="C137" i="27"/>
  <c r="G137" i="27" s="1"/>
  <c r="G214" i="1"/>
  <c r="H214" i="1"/>
  <c r="K214" i="1"/>
  <c r="L214" i="1"/>
  <c r="M214" i="1"/>
  <c r="C119" i="27"/>
  <c r="G119" i="27"/>
  <c r="F88" i="27"/>
  <c r="C92" i="27"/>
  <c r="G92" i="27"/>
  <c r="C95" i="27"/>
  <c r="G95" i="27"/>
  <c r="C96" i="27"/>
  <c r="G96" i="27"/>
  <c r="C100" i="27"/>
  <c r="G100" i="27"/>
  <c r="C90" i="27"/>
  <c r="G90" i="27" s="1"/>
  <c r="C99" i="27"/>
  <c r="G99" i="27"/>
  <c r="G213" i="1"/>
  <c r="K213" i="1"/>
  <c r="L213" i="1"/>
  <c r="M213" i="1"/>
  <c r="D63" i="27"/>
  <c r="C63" i="27"/>
  <c r="G63" i="27"/>
  <c r="D55" i="27"/>
  <c r="C128" i="27"/>
  <c r="G128" i="27"/>
  <c r="C106" i="27"/>
  <c r="G106" i="27"/>
  <c r="C138" i="27"/>
  <c r="G138" i="27" s="1"/>
  <c r="C132" i="27"/>
  <c r="G132" i="27"/>
  <c r="G1881" i="29"/>
  <c r="F1881" i="29"/>
  <c r="G1879" i="29"/>
  <c r="F1879" i="29"/>
  <c r="G1877" i="29"/>
  <c r="F1877" i="29"/>
  <c r="G1872" i="29"/>
  <c r="F1872" i="29"/>
  <c r="G1870" i="29"/>
  <c r="F1870" i="29"/>
  <c r="G1868" i="29"/>
  <c r="F1868" i="29"/>
  <c r="G1862" i="29"/>
  <c r="F1862" i="29"/>
  <c r="E27" i="20"/>
  <c r="C27" i="20" s="1"/>
  <c r="G1461" i="29"/>
  <c r="F1461" i="29"/>
  <c r="F96" i="29"/>
  <c r="G96" i="29"/>
  <c r="F201" i="29"/>
  <c r="G201" i="29"/>
  <c r="F297" i="29"/>
  <c r="G297" i="29"/>
  <c r="F327" i="29"/>
  <c r="G327" i="29"/>
  <c r="F413" i="29"/>
  <c r="G413" i="29"/>
  <c r="F446" i="29"/>
  <c r="G446" i="29"/>
  <c r="F535" i="29"/>
  <c r="G535" i="29"/>
  <c r="F748" i="29"/>
  <c r="G748" i="29"/>
  <c r="F1022" i="29"/>
  <c r="G1022" i="29"/>
  <c r="F1051" i="29"/>
  <c r="G1051" i="29"/>
  <c r="F1265" i="29"/>
  <c r="G1265" i="29"/>
  <c r="F1292" i="29"/>
  <c r="G1292" i="29"/>
  <c r="F1341" i="29"/>
  <c r="G1341" i="29"/>
  <c r="C77" i="27"/>
  <c r="G77" i="27" s="1"/>
  <c r="C36" i="27"/>
  <c r="G36" i="27"/>
  <c r="D26" i="20"/>
  <c r="E55" i="27"/>
  <c r="C66" i="27"/>
  <c r="G66" i="27"/>
  <c r="D29" i="27"/>
  <c r="D31" i="27"/>
  <c r="D35" i="27"/>
  <c r="D28" i="27" s="1"/>
  <c r="D38" i="27"/>
  <c r="D18" i="27"/>
  <c r="C39" i="27"/>
  <c r="G39" i="27"/>
  <c r="F35" i="27"/>
  <c r="F55" i="27"/>
  <c r="F54" i="27"/>
  <c r="F49" i="27"/>
  <c r="F68" i="27"/>
  <c r="F67" i="27" s="1"/>
  <c r="F148" i="27"/>
  <c r="C104" i="27"/>
  <c r="G104" i="27" s="1"/>
  <c r="C107" i="27"/>
  <c r="G107" i="27"/>
  <c r="C130" i="27"/>
  <c r="G130" i="27" s="1"/>
  <c r="E25" i="27"/>
  <c r="C25" i="27"/>
  <c r="G25" i="27" s="1"/>
  <c r="E35" i="27"/>
  <c r="E31" i="27"/>
  <c r="E28" i="27"/>
  <c r="E29" i="27"/>
  <c r="E49" i="27"/>
  <c r="E68" i="27"/>
  <c r="E67" i="27" s="1"/>
  <c r="E78" i="27"/>
  <c r="C78" i="27"/>
  <c r="G78" i="27"/>
  <c r="E149" i="27"/>
  <c r="C149" i="27"/>
  <c r="G149" i="27"/>
  <c r="E81" i="27"/>
  <c r="C81" i="27" s="1"/>
  <c r="G81" i="27" s="1"/>
  <c r="F146" i="27"/>
  <c r="F24" i="27"/>
  <c r="G24" i="27" s="1"/>
  <c r="F41" i="27"/>
  <c r="F40" i="27"/>
  <c r="F31" i="27"/>
  <c r="F29" i="27"/>
  <c r="F28" i="27" s="1"/>
  <c r="F81" i="27"/>
  <c r="F80" i="27"/>
  <c r="E11" i="27"/>
  <c r="C11" i="27"/>
  <c r="G11" i="27" s="1"/>
  <c r="F11" i="27"/>
  <c r="C12" i="27"/>
  <c r="G12" i="27"/>
  <c r="C13" i="27"/>
  <c r="G13" i="27" s="1"/>
  <c r="C14" i="27"/>
  <c r="G14" i="27"/>
  <c r="C15" i="27"/>
  <c r="G15" i="27" s="1"/>
  <c r="C16" i="27"/>
  <c r="G16" i="27"/>
  <c r="C17" i="27"/>
  <c r="G17" i="27" s="1"/>
  <c r="C19" i="27"/>
  <c r="C20" i="27"/>
  <c r="G20" i="27"/>
  <c r="C21" i="27"/>
  <c r="G21" i="27" s="1"/>
  <c r="C22" i="27"/>
  <c r="G22" i="27" s="1"/>
  <c r="E18" i="27"/>
  <c r="F18" i="27"/>
  <c r="C26" i="27"/>
  <c r="G26" i="27" s="1"/>
  <c r="C27" i="27"/>
  <c r="G27" i="27"/>
  <c r="C30" i="27"/>
  <c r="G30" i="27" s="1"/>
  <c r="C32" i="27"/>
  <c r="G32" i="27"/>
  <c r="C33" i="27"/>
  <c r="G33" i="27" s="1"/>
  <c r="C34" i="27"/>
  <c r="G34" i="27"/>
  <c r="C37" i="27"/>
  <c r="G37" i="27" s="1"/>
  <c r="C42" i="27"/>
  <c r="G42" i="27"/>
  <c r="C43" i="27"/>
  <c r="G43" i="27"/>
  <c r="C44" i="27"/>
  <c r="G44" i="27"/>
  <c r="C51" i="27"/>
  <c r="G51" i="27"/>
  <c r="C52" i="27"/>
  <c r="G52" i="27"/>
  <c r="C53" i="27"/>
  <c r="G53" i="27" s="1"/>
  <c r="C56" i="27"/>
  <c r="G56" i="27" s="1"/>
  <c r="C57" i="27"/>
  <c r="G57" i="27" s="1"/>
  <c r="C58" i="27"/>
  <c r="G58" i="27"/>
  <c r="C59" i="27"/>
  <c r="G59" i="27" s="1"/>
  <c r="C60" i="27"/>
  <c r="G60" i="27"/>
  <c r="C61" i="27"/>
  <c r="G61" i="27" s="1"/>
  <c r="C62" i="27"/>
  <c r="G62" i="27"/>
  <c r="C64" i="27"/>
  <c r="G64" i="27" s="1"/>
  <c r="C65" i="27"/>
  <c r="G65" i="27" s="1"/>
  <c r="C69" i="27"/>
  <c r="G69" i="27" s="1"/>
  <c r="C70" i="27"/>
  <c r="G70" i="27" s="1"/>
  <c r="C71" i="27"/>
  <c r="G71" i="27"/>
  <c r="C79" i="27"/>
  <c r="G79" i="27" s="1"/>
  <c r="C82" i="27"/>
  <c r="G82" i="27"/>
  <c r="C86" i="27"/>
  <c r="G86" i="27" s="1"/>
  <c r="D146" i="27"/>
  <c r="C150" i="27"/>
  <c r="G150" i="27"/>
  <c r="C151" i="27"/>
  <c r="G151" i="27" s="1"/>
  <c r="C152" i="27"/>
  <c r="G152" i="27"/>
  <c r="S255" i="1"/>
  <c r="D23" i="20"/>
  <c r="E23" i="20"/>
  <c r="C23" i="20"/>
  <c r="E146" i="27"/>
  <c r="O214" i="1"/>
  <c r="O213" i="1"/>
  <c r="C372" i="29"/>
  <c r="D1366" i="29"/>
  <c r="E496" i="29"/>
  <c r="G29" i="12"/>
  <c r="E75" i="1"/>
  <c r="R75" i="1" s="1"/>
  <c r="S75" i="1" s="1"/>
  <c r="F27" i="20"/>
  <c r="C105" i="27"/>
  <c r="G105" i="27" s="1"/>
  <c r="E372" i="29"/>
  <c r="C123" i="27"/>
  <c r="G123" i="27"/>
  <c r="J233" i="1"/>
  <c r="E83" i="1"/>
  <c r="R83" i="1"/>
  <c r="E74" i="1"/>
  <c r="R74" i="1" s="1"/>
  <c r="J216" i="1"/>
  <c r="E118" i="1"/>
  <c r="Q118" i="1"/>
  <c r="J196" i="1"/>
  <c r="J226" i="1"/>
  <c r="E107" i="1"/>
  <c r="R107" i="1"/>
  <c r="C1653" i="29"/>
  <c r="E605" i="29"/>
  <c r="G31" i="12" s="1"/>
  <c r="C1701" i="29"/>
  <c r="E24" i="20"/>
  <c r="H8" i="29"/>
  <c r="D605" i="29"/>
  <c r="D31" i="12"/>
  <c r="H31" i="12" s="1"/>
  <c r="C496" i="29"/>
  <c r="J81" i="1"/>
  <c r="N213" i="1"/>
  <c r="V213" i="1"/>
  <c r="E233" i="1"/>
  <c r="E231" i="1" s="1"/>
  <c r="R231" i="1" s="1"/>
  <c r="J202" i="1"/>
  <c r="J16" i="1"/>
  <c r="J95" i="1"/>
  <c r="R95" i="1" s="1"/>
  <c r="J178" i="1"/>
  <c r="E135" i="1"/>
  <c r="J64" i="1"/>
  <c r="R64" i="1" s="1"/>
  <c r="I213" i="1"/>
  <c r="F214" i="1"/>
  <c r="F213" i="1"/>
  <c r="E216" i="1"/>
  <c r="R216" i="1" s="1"/>
  <c r="E213" i="1"/>
  <c r="R213" i="1"/>
  <c r="I214" i="1"/>
  <c r="E195" i="1"/>
  <c r="R195" i="1"/>
  <c r="C659" i="29"/>
  <c r="C627" i="29"/>
  <c r="I627" i="29" s="1"/>
  <c r="E1653" i="29"/>
  <c r="E1701" i="29"/>
  <c r="J69" i="1"/>
  <c r="E2047" i="24"/>
  <c r="E69" i="1"/>
  <c r="R69" i="1"/>
  <c r="J83" i="1"/>
  <c r="E56" i="1"/>
  <c r="J146" i="1"/>
  <c r="P275" i="1"/>
  <c r="J181" i="1"/>
  <c r="Q181" i="1"/>
  <c r="J162" i="1"/>
  <c r="E26" i="20"/>
  <c r="C26" i="20"/>
  <c r="C14" i="20"/>
  <c r="D12" i="20"/>
  <c r="D24" i="20"/>
  <c r="D22" i="20" s="1"/>
  <c r="C22" i="20" s="1"/>
  <c r="C24" i="20"/>
  <c r="F12" i="20"/>
  <c r="F200" i="1"/>
  <c r="C16" i="20"/>
  <c r="E62" i="1"/>
  <c r="R62" i="1" s="1"/>
  <c r="J36" i="1"/>
  <c r="E1901" i="29"/>
  <c r="J171" i="1"/>
  <c r="J144" i="1"/>
  <c r="R144" i="1" s="1"/>
  <c r="E146" i="1"/>
  <c r="R146" i="1"/>
  <c r="O26" i="1"/>
  <c r="D786" i="29"/>
  <c r="I786" i="29" s="1"/>
  <c r="C1833" i="29"/>
  <c r="E36" i="32"/>
  <c r="BZ23" i="12"/>
  <c r="C1820" i="29"/>
  <c r="E1051" i="29"/>
  <c r="C1265" i="29"/>
  <c r="D327" i="29"/>
  <c r="C1088" i="29"/>
  <c r="H1088" i="29" s="1"/>
  <c r="F26" i="1"/>
  <c r="F25" i="1"/>
  <c r="J158" i="1"/>
  <c r="Q158" i="1"/>
  <c r="C1901" i="29"/>
  <c r="C1851" i="29"/>
  <c r="C244" i="29"/>
  <c r="C141" i="27"/>
  <c r="G141" i="27" s="1"/>
  <c r="C1894" i="29"/>
  <c r="L47" i="12"/>
  <c r="L114" i="12"/>
  <c r="L118" i="12"/>
  <c r="L125" i="12" s="1"/>
  <c r="C2047" i="24"/>
  <c r="I2047" i="24"/>
  <c r="E12" i="20"/>
  <c r="E11" i="20" s="1"/>
  <c r="O25" i="1"/>
  <c r="E327" i="29"/>
  <c r="C87" i="32"/>
  <c r="C145" i="27"/>
  <c r="H39" i="37"/>
  <c r="E1894" i="29"/>
  <c r="G59" i="12"/>
  <c r="C327" i="29"/>
  <c r="C27" i="37"/>
  <c r="I27" i="37"/>
  <c r="E45" i="32"/>
  <c r="H45" i="32"/>
  <c r="J190" i="1"/>
  <c r="R190" i="1"/>
  <c r="E139" i="27"/>
  <c r="E85" i="27"/>
  <c r="C85" i="27" s="1"/>
  <c r="G85" i="27" s="1"/>
  <c r="D15" i="20"/>
  <c r="D11" i="20"/>
  <c r="C28" i="32"/>
  <c r="E2818" i="24"/>
  <c r="H2818" i="24" s="1"/>
  <c r="C2133" i="24"/>
  <c r="C4002" i="24"/>
  <c r="C318" i="24"/>
  <c r="E2473" i="24"/>
  <c r="C1781" i="24"/>
  <c r="I1781" i="24"/>
  <c r="D2923" i="24"/>
  <c r="D3826" i="24"/>
  <c r="E1584" i="24"/>
  <c r="C3570" i="24"/>
  <c r="E4002" i="24"/>
  <c r="E1387" i="24"/>
  <c r="E999" i="24"/>
  <c r="D999" i="24"/>
  <c r="D2353" i="24"/>
  <c r="H2353" i="24" s="1"/>
  <c r="C1265" i="24"/>
  <c r="I1265" i="24"/>
  <c r="C3220" i="24"/>
  <c r="E28" i="20"/>
  <c r="C28" i="20"/>
  <c r="C18" i="20"/>
  <c r="E22" i="20"/>
  <c r="H27" i="37"/>
  <c r="C143" i="27"/>
  <c r="G143" i="27"/>
  <c r="V95" i="1"/>
  <c r="I26" i="37"/>
  <c r="H26" i="37"/>
  <c r="V203" i="1"/>
  <c r="E2133" i="24"/>
  <c r="E474" i="24"/>
  <c r="O15" i="1"/>
  <c r="C1387" i="24"/>
  <c r="I1387" i="24" s="1"/>
  <c r="H24" i="31"/>
  <c r="P15" i="1"/>
  <c r="T15" i="1"/>
  <c r="V56" i="1"/>
  <c r="O235" i="1"/>
  <c r="V227" i="1"/>
  <c r="E203" i="1"/>
  <c r="R203" i="1"/>
  <c r="J227" i="1"/>
  <c r="Q227" i="1"/>
  <c r="V228" i="1"/>
  <c r="J197" i="1"/>
  <c r="V62" i="1"/>
  <c r="V210" i="1"/>
  <c r="V138" i="1"/>
  <c r="J111" i="1"/>
  <c r="V111" i="1"/>
  <c r="V29" i="1"/>
  <c r="J183" i="1"/>
  <c r="Q183" i="1"/>
  <c r="J172" i="1"/>
  <c r="J229" i="1"/>
  <c r="J119" i="1"/>
  <c r="Q119" i="1"/>
  <c r="E172" i="1"/>
  <c r="O105" i="1"/>
  <c r="O200" i="1"/>
  <c r="N235" i="1"/>
  <c r="F208" i="1"/>
  <c r="V188" i="1"/>
  <c r="V252" i="1"/>
  <c r="V24" i="1"/>
  <c r="V251" i="1"/>
  <c r="J176" i="1"/>
  <c r="E194" i="1"/>
  <c r="V131" i="1"/>
  <c r="K200" i="1"/>
  <c r="V199" i="1"/>
  <c r="E63" i="1"/>
  <c r="R63" i="1"/>
  <c r="V173" i="1"/>
  <c r="J23" i="1"/>
  <c r="J49" i="1"/>
  <c r="J251" i="1"/>
  <c r="J131" i="1"/>
  <c r="V204" i="1"/>
  <c r="E245" i="1"/>
  <c r="J204" i="1"/>
  <c r="V115" i="1"/>
  <c r="J115" i="1"/>
  <c r="J113" i="1" s="1"/>
  <c r="V83" i="1"/>
  <c r="N200" i="1"/>
  <c r="O208" i="1"/>
  <c r="V208" i="1"/>
  <c r="H15" i="1"/>
  <c r="J38" i="1"/>
  <c r="R38" i="1"/>
  <c r="E99" i="1"/>
  <c r="V28" i="1"/>
  <c r="J28" i="1"/>
  <c r="N25" i="1"/>
  <c r="V25" i="1"/>
  <c r="N26" i="1"/>
  <c r="V26" i="1" s="1"/>
  <c r="J184" i="1"/>
  <c r="V184" i="1"/>
  <c r="V198" i="1"/>
  <c r="E212" i="1"/>
  <c r="E211" i="1"/>
  <c r="R211" i="1"/>
  <c r="J152" i="1"/>
  <c r="Q152" i="1" s="1"/>
  <c r="P105" i="1"/>
  <c r="P26" i="1"/>
  <c r="T26" i="1"/>
  <c r="P25" i="1"/>
  <c r="V190" i="1"/>
  <c r="BZ47" i="12"/>
  <c r="BZ99" i="12"/>
  <c r="BZ114" i="12" s="1"/>
  <c r="BZ118" i="12" s="1"/>
  <c r="BZ125" i="12" s="1"/>
  <c r="BI99" i="12"/>
  <c r="AA99" i="12"/>
  <c r="AA114" i="12"/>
  <c r="AA118" i="12" s="1"/>
  <c r="AA125" i="12" s="1"/>
  <c r="C3826" i="24"/>
  <c r="I3826" i="24"/>
  <c r="O23" i="12"/>
  <c r="O114" i="12"/>
  <c r="O118" i="12"/>
  <c r="CH23" i="12"/>
  <c r="F22" i="20"/>
  <c r="Q96" i="1"/>
  <c r="CF53" i="12"/>
  <c r="AD23" i="12"/>
  <c r="H4288" i="24"/>
  <c r="E4291" i="24"/>
  <c r="E15" i="20"/>
  <c r="C17" i="20"/>
  <c r="E24" i="27"/>
  <c r="C24" i="27"/>
  <c r="H80" i="32"/>
  <c r="C46" i="27"/>
  <c r="G46" i="27"/>
  <c r="AG23" i="12"/>
  <c r="AG114" i="12"/>
  <c r="AG118" i="12"/>
  <c r="AC114" i="12"/>
  <c r="AC118" i="12" s="1"/>
  <c r="AC125" i="12" s="1"/>
  <c r="AH47" i="12"/>
  <c r="AI105" i="12"/>
  <c r="AH105" i="12" s="1"/>
  <c r="AI113" i="12"/>
  <c r="AH113" i="12"/>
  <c r="AI108" i="12"/>
  <c r="AH108" i="12" s="1"/>
  <c r="CI108" i="12" s="1"/>
  <c r="AI107" i="12"/>
  <c r="AH107" i="12"/>
  <c r="CI107" i="12" s="1"/>
  <c r="AI104" i="12"/>
  <c r="AH104" i="12"/>
  <c r="AI101" i="12"/>
  <c r="AH101" i="12" s="1"/>
  <c r="CI101" i="12" s="1"/>
  <c r="AI106" i="12"/>
  <c r="AH106" i="12"/>
  <c r="AI102" i="12"/>
  <c r="AH102" i="12" s="1"/>
  <c r="H52" i="1"/>
  <c r="J213" i="1"/>
  <c r="V209" i="1"/>
  <c r="CH99" i="12"/>
  <c r="BQ99" i="12"/>
  <c r="BQ118" i="12"/>
  <c r="X47" i="12"/>
  <c r="CF34" i="12"/>
  <c r="BX34" i="12" s="1"/>
  <c r="CI34" i="12" s="1"/>
  <c r="AH23" i="12"/>
  <c r="C1811" i="29"/>
  <c r="E1820" i="29"/>
  <c r="G80" i="12" s="1"/>
  <c r="E1851" i="29"/>
  <c r="G78" i="12" s="1"/>
  <c r="E1265" i="29"/>
  <c r="I1265" i="29" s="1"/>
  <c r="C144" i="27"/>
  <c r="F144" i="27"/>
  <c r="C36" i="32"/>
  <c r="F54" i="37"/>
  <c r="E148" i="27"/>
  <c r="C148" i="27" s="1"/>
  <c r="G148" i="27"/>
  <c r="K65" i="31"/>
  <c r="Q249" i="1"/>
  <c r="AT99" i="12"/>
  <c r="AT114" i="12"/>
  <c r="AT118" i="12"/>
  <c r="E16" i="1"/>
  <c r="Q178" i="1"/>
  <c r="J165" i="1"/>
  <c r="Q165" i="1" s="1"/>
  <c r="P157" i="1"/>
  <c r="Q169" i="1"/>
  <c r="Q171" i="1"/>
  <c r="Q170" i="1"/>
  <c r="Q155" i="1"/>
  <c r="K130" i="1"/>
  <c r="Q20" i="1"/>
  <c r="J57" i="1"/>
  <c r="Q40" i="1"/>
  <c r="Q161" i="1"/>
  <c r="Q55" i="1"/>
  <c r="S55" i="1" s="1"/>
  <c r="Q122" i="1"/>
  <c r="Q138" i="1"/>
  <c r="Q90" i="1"/>
  <c r="Q154" i="1"/>
  <c r="Q24" i="1"/>
  <c r="E2539" i="24"/>
  <c r="C2539" i="24"/>
  <c r="CF23" i="12"/>
  <c r="BY99" i="12"/>
  <c r="BY114" i="12" s="1"/>
  <c r="BY118" i="12" s="1"/>
  <c r="O114" i="1"/>
  <c r="E252" i="1"/>
  <c r="V224" i="1"/>
  <c r="V16" i="1"/>
  <c r="N14" i="1"/>
  <c r="V14" i="1" s="1"/>
  <c r="N15" i="1"/>
  <c r="V192" i="1"/>
  <c r="O157" i="1"/>
  <c r="T157" i="1" s="1"/>
  <c r="H232" i="1"/>
  <c r="H231" i="1"/>
  <c r="N51" i="1"/>
  <c r="V53" i="1"/>
  <c r="J53" i="1"/>
  <c r="Q53" i="1" s="1"/>
  <c r="Q18" i="1"/>
  <c r="N50" i="1"/>
  <c r="V37" i="1"/>
  <c r="J37" i="1"/>
  <c r="N31" i="1"/>
  <c r="O128" i="1"/>
  <c r="T128" i="1"/>
  <c r="V144" i="1"/>
  <c r="J208" i="1"/>
  <c r="N113" i="1"/>
  <c r="V113" i="1"/>
  <c r="J120" i="1"/>
  <c r="N112" i="1"/>
  <c r="P30" i="1"/>
  <c r="Q108" i="1"/>
  <c r="J63" i="1"/>
  <c r="V63" i="1"/>
  <c r="O156" i="1"/>
  <c r="N30" i="1"/>
  <c r="Q125" i="1"/>
  <c r="Q221" i="1"/>
  <c r="Q205" i="1"/>
  <c r="Q149" i="1"/>
  <c r="Q123" i="1"/>
  <c r="V128" i="1"/>
  <c r="H2958" i="24"/>
  <c r="K129" i="15"/>
  <c r="Q203" i="1"/>
  <c r="Q71" i="1"/>
  <c r="O130" i="1"/>
  <c r="V129" i="1"/>
  <c r="T129" i="1"/>
  <c r="Q104" i="1"/>
  <c r="Q86" i="1"/>
  <c r="Q233" i="1"/>
  <c r="J231" i="1"/>
  <c r="J232" i="1"/>
  <c r="S67" i="1"/>
  <c r="T208" i="1"/>
  <c r="S241" i="1"/>
  <c r="G114" i="27"/>
  <c r="M11" i="15"/>
  <c r="H128" i="15"/>
  <c r="K128" i="15" s="1"/>
  <c r="M128" i="15"/>
  <c r="N21" i="22"/>
  <c r="G21" i="22"/>
  <c r="M82" i="22"/>
  <c r="L82" i="22"/>
  <c r="L84" i="22"/>
  <c r="M86" i="22"/>
  <c r="L86" i="22"/>
  <c r="L98" i="22"/>
  <c r="G119" i="22"/>
  <c r="M119" i="22" s="1"/>
  <c r="G160" i="22"/>
  <c r="H200" i="22"/>
  <c r="K200" i="22" s="1"/>
  <c r="I214" i="22"/>
  <c r="K214" i="22"/>
  <c r="H102" i="22"/>
  <c r="K102" i="22" s="1"/>
  <c r="M106" i="22"/>
  <c r="L106" i="22"/>
  <c r="M129" i="22"/>
  <c r="L129" i="22"/>
  <c r="G221" i="22"/>
  <c r="L13" i="22"/>
  <c r="M105" i="22"/>
  <c r="L105" i="22"/>
  <c r="M120" i="22"/>
  <c r="L120" i="22"/>
  <c r="M130" i="22"/>
  <c r="M189" i="22"/>
  <c r="L189" i="22"/>
  <c r="M207" i="22"/>
  <c r="L207" i="22"/>
  <c r="M131" i="22"/>
  <c r="L131" i="22"/>
  <c r="I153" i="22"/>
  <c r="L12" i="22"/>
  <c r="L20" i="22"/>
  <c r="G78" i="22"/>
  <c r="M78" i="22" s="1"/>
  <c r="M83" i="22"/>
  <c r="L83" i="22"/>
  <c r="L85" i="22"/>
  <c r="L101" i="22"/>
  <c r="H127" i="22"/>
  <c r="G57" i="22"/>
  <c r="G201" i="22"/>
  <c r="L119" i="22"/>
  <c r="G200" i="22"/>
  <c r="M200" i="22" s="1"/>
  <c r="L21" i="22"/>
  <c r="M21" i="22"/>
  <c r="C12" i="20"/>
  <c r="L103" i="22"/>
  <c r="M103" i="22"/>
  <c r="G102" i="22"/>
  <c r="H23" i="22"/>
  <c r="K23" i="22" s="1"/>
  <c r="I10" i="22"/>
  <c r="L19" i="22"/>
  <c r="L26" i="22"/>
  <c r="M34" i="22"/>
  <c r="L63" i="22"/>
  <c r="M122" i="22"/>
  <c r="I127" i="22"/>
  <c r="L137" i="22"/>
  <c r="L141" i="22"/>
  <c r="L145" i="22"/>
  <c r="L149" i="22"/>
  <c r="L172" i="22"/>
  <c r="L178" i="22"/>
  <c r="L182" i="22"/>
  <c r="L186" i="22"/>
  <c r="M198" i="22"/>
  <c r="L209" i="22"/>
  <c r="G215" i="22"/>
  <c r="L223" i="22"/>
  <c r="L97" i="22"/>
  <c r="G206" i="22"/>
  <c r="M26" i="22"/>
  <c r="L240" i="22"/>
  <c r="K226" i="22"/>
  <c r="M201" i="22"/>
  <c r="T236" i="1"/>
  <c r="H3708" i="24"/>
  <c r="H934" i="24"/>
  <c r="J9" i="31"/>
  <c r="E8" i="31"/>
  <c r="Q252" i="1"/>
  <c r="H9" i="31"/>
  <c r="K9" i="31"/>
  <c r="H30" i="22"/>
  <c r="K30" i="22"/>
  <c r="M102" i="22"/>
  <c r="L102" i="22"/>
  <c r="L206" i="22"/>
  <c r="H8" i="31"/>
  <c r="Q160" i="1"/>
  <c r="N156" i="1"/>
  <c r="N157" i="1"/>
  <c r="I106" i="32"/>
  <c r="H29" i="37"/>
  <c r="C38" i="27"/>
  <c r="G38" i="27"/>
  <c r="J65" i="31"/>
  <c r="Q19" i="1"/>
  <c r="J114" i="1"/>
  <c r="Q238" i="1"/>
  <c r="Q142" i="1"/>
  <c r="Q87" i="1"/>
  <c r="S87" i="1"/>
  <c r="Q107" i="1"/>
  <c r="Q245" i="1"/>
  <c r="Q131" i="1"/>
  <c r="Q179" i="1"/>
  <c r="Q134" i="1"/>
  <c r="S134" i="1" s="1"/>
  <c r="Q188" i="1"/>
  <c r="I38" i="32"/>
  <c r="H81" i="32"/>
  <c r="I115" i="32"/>
  <c r="I50" i="32"/>
  <c r="H98" i="32"/>
  <c r="H87" i="32"/>
  <c r="H115" i="32"/>
  <c r="I117" i="32"/>
  <c r="H94" i="32"/>
  <c r="I45" i="32"/>
  <c r="H36" i="32"/>
  <c r="I134" i="32"/>
  <c r="H153" i="32"/>
  <c r="H71" i="32"/>
  <c r="I98" i="32"/>
  <c r="I81" i="32"/>
  <c r="H38" i="32"/>
  <c r="H155" i="32"/>
  <c r="H90" i="32"/>
  <c r="I113" i="32"/>
  <c r="I87" i="32"/>
  <c r="H126" i="32"/>
  <c r="I92" i="32"/>
  <c r="I90" i="32"/>
  <c r="H113" i="32"/>
  <c r="H76" i="32"/>
  <c r="I126" i="32"/>
  <c r="F20" i="12"/>
  <c r="H92" i="32"/>
  <c r="H132" i="32"/>
  <c r="I149" i="32"/>
  <c r="H123" i="32"/>
  <c r="I24" i="32"/>
  <c r="H43" i="32"/>
  <c r="I130" i="32"/>
  <c r="F60" i="12"/>
  <c r="I43" i="32"/>
  <c r="I76" i="32"/>
  <c r="F84" i="12"/>
  <c r="H84" i="12"/>
  <c r="H130" i="32"/>
  <c r="H19" i="32"/>
  <c r="H117" i="32"/>
  <c r="I120" i="32"/>
  <c r="H128" i="32"/>
  <c r="H11" i="32"/>
  <c r="H14" i="32"/>
  <c r="I19" i="32"/>
  <c r="H24" i="32"/>
  <c r="I28" i="32"/>
  <c r="H120" i="32"/>
  <c r="I128" i="32"/>
  <c r="I132" i="32"/>
  <c r="Y114" i="12"/>
  <c r="Y118" i="12" s="1"/>
  <c r="N114" i="12"/>
  <c r="N118" i="12"/>
  <c r="I114" i="12"/>
  <c r="I118" i="12" s="1"/>
  <c r="BN114" i="12"/>
  <c r="BN118" i="12"/>
  <c r="AQ114" i="12"/>
  <c r="AQ118" i="12" s="1"/>
  <c r="Z114" i="12"/>
  <c r="Z118" i="12"/>
  <c r="AU114" i="12"/>
  <c r="AU118" i="12" s="1"/>
  <c r="H32" i="32"/>
  <c r="AH103" i="12"/>
  <c r="CF42" i="12"/>
  <c r="BX42" i="12" s="1"/>
  <c r="AE47" i="12"/>
  <c r="AD26" i="12"/>
  <c r="AD47" i="12" s="1"/>
  <c r="AD63" i="12"/>
  <c r="AE99" i="12"/>
  <c r="BX28" i="12"/>
  <c r="BX74" i="12"/>
  <c r="BX80" i="12"/>
  <c r="BX53" i="12"/>
  <c r="BX83" i="12"/>
  <c r="AH117" i="12"/>
  <c r="BT114" i="12"/>
  <c r="BT118" i="12" s="1"/>
  <c r="BX64" i="12"/>
  <c r="BX89" i="12"/>
  <c r="Q23" i="12"/>
  <c r="T23" i="12"/>
  <c r="BX51" i="12"/>
  <c r="BX86" i="12"/>
  <c r="BX29" i="12"/>
  <c r="CE118" i="12"/>
  <c r="CE125" i="12" s="1"/>
  <c r="AO118" i="12"/>
  <c r="S114" i="12"/>
  <c r="S118" i="12" s="1"/>
  <c r="BX117" i="12"/>
  <c r="T39" i="12"/>
  <c r="V47" i="12"/>
  <c r="V114" i="12" s="1"/>
  <c r="V118" i="12" s="1"/>
  <c r="BX18" i="12"/>
  <c r="BX23" i="12"/>
  <c r="BJ47" i="12"/>
  <c r="BJ114" i="12" s="1"/>
  <c r="BJ118" i="12" s="1"/>
  <c r="F170" i="32"/>
  <c r="E1811" i="29"/>
  <c r="I20" i="37"/>
  <c r="C41" i="37"/>
  <c r="H37" i="37"/>
  <c r="I17" i="37"/>
  <c r="H17" i="37"/>
  <c r="I78" i="32"/>
  <c r="I96" i="32"/>
  <c r="H151" i="32"/>
  <c r="H147" i="32"/>
  <c r="H145" i="32"/>
  <c r="H96" i="32"/>
  <c r="I100" i="32"/>
  <c r="D156" i="32"/>
  <c r="H102" i="32"/>
  <c r="I102" i="32"/>
  <c r="AD99" i="12"/>
  <c r="AE114" i="12"/>
  <c r="AE118" i="12" s="1"/>
  <c r="Q39" i="12"/>
  <c r="CI39" i="12"/>
  <c r="T47" i="12"/>
  <c r="H1960" i="29"/>
  <c r="H372" i="29"/>
  <c r="I535" i="29"/>
  <c r="I1930" i="29"/>
  <c r="I1820" i="29"/>
  <c r="I1341" i="29"/>
  <c r="H1976" i="29"/>
  <c r="I1980" i="29"/>
  <c r="I1988" i="29"/>
  <c r="H1992" i="29"/>
  <c r="I1996" i="29"/>
  <c r="H1912" i="29"/>
  <c r="I1907" i="29"/>
  <c r="I1939" i="29"/>
  <c r="I1994" i="29"/>
  <c r="I1461" i="29"/>
  <c r="H1215" i="29"/>
  <c r="I1870" i="29"/>
  <c r="H1366" i="29"/>
  <c r="H1292" i="29"/>
  <c r="H1136" i="29"/>
  <c r="H1851" i="29"/>
  <c r="I1088" i="29"/>
  <c r="I496" i="29"/>
  <c r="H1836" i="29"/>
  <c r="I1826" i="29"/>
  <c r="H1920" i="29"/>
  <c r="H1969" i="29"/>
  <c r="I1894" i="29"/>
  <c r="H32" i="12"/>
  <c r="H1904" i="29"/>
  <c r="H1801" i="29"/>
  <c r="I1877" i="29"/>
  <c r="H1928" i="29"/>
  <c r="I1933" i="29"/>
  <c r="I1862" i="29"/>
  <c r="H1948" i="29"/>
  <c r="I1974" i="29"/>
  <c r="H1978" i="29"/>
  <c r="I1982" i="29"/>
  <c r="H1986" i="29"/>
  <c r="I1990" i="29"/>
  <c r="H1994" i="29"/>
  <c r="H1936" i="29"/>
  <c r="I1966" i="29"/>
  <c r="I1978" i="29"/>
  <c r="H1840" i="29"/>
  <c r="I1948" i="29"/>
  <c r="I1866" i="29"/>
  <c r="G85" i="12"/>
  <c r="H85" i="12"/>
  <c r="H1811" i="29"/>
  <c r="I605" i="29"/>
  <c r="H1341" i="29"/>
  <c r="H446" i="29"/>
  <c r="I125" i="29"/>
  <c r="I1922" i="29"/>
  <c r="I297" i="29"/>
  <c r="I1814" i="29"/>
  <c r="H1955" i="29"/>
  <c r="H1974" i="29"/>
  <c r="H1982" i="29"/>
  <c r="H1990" i="29"/>
  <c r="I1936" i="29"/>
  <c r="I1960" i="29"/>
  <c r="I908" i="29"/>
  <c r="I1957" i="29"/>
  <c r="H1984" i="29"/>
  <c r="H1265" i="29"/>
  <c r="H1051" i="29"/>
  <c r="I1022" i="29"/>
  <c r="H29" i="12"/>
  <c r="I413" i="29"/>
  <c r="H125" i="29"/>
  <c r="H1896" i="29"/>
  <c r="I1413" i="29"/>
  <c r="I1889" i="29"/>
  <c r="H1823" i="29"/>
  <c r="I1823" i="29"/>
  <c r="H1826" i="29"/>
  <c r="H1844" i="29"/>
  <c r="H1814" i="29"/>
  <c r="I1925" i="29"/>
  <c r="H908" i="29"/>
  <c r="I1912" i="29"/>
  <c r="I1899" i="29"/>
  <c r="G101" i="12"/>
  <c r="I1972" i="29"/>
  <c r="H1972" i="29"/>
  <c r="I1557" i="29"/>
  <c r="I1366" i="29"/>
  <c r="H1820" i="29"/>
  <c r="I1811" i="29"/>
  <c r="H1894" i="29"/>
  <c r="I1851" i="29"/>
  <c r="H1701" i="29"/>
  <c r="I1701" i="29"/>
  <c r="H1870" i="29"/>
  <c r="I1653" i="29"/>
  <c r="H1461" i="29"/>
  <c r="H627" i="29"/>
  <c r="H535" i="29"/>
  <c r="H413" i="29"/>
  <c r="I1836" i="29"/>
  <c r="H943" i="29"/>
  <c r="G73" i="12"/>
  <c r="H73" i="12"/>
  <c r="I1829" i="29"/>
  <c r="I1840" i="29"/>
  <c r="I1801" i="29"/>
  <c r="I1928" i="29"/>
  <c r="I1976" i="29"/>
  <c r="I1984" i="29"/>
  <c r="I1992" i="29"/>
  <c r="G83" i="12"/>
  <c r="H1910" i="29"/>
  <c r="H1899" i="29"/>
  <c r="I1920" i="29"/>
  <c r="H1889" i="29"/>
  <c r="H1996" i="29"/>
  <c r="H1980" i="29"/>
  <c r="H1833" i="29"/>
  <c r="G65" i="12"/>
  <c r="G86" i="12"/>
  <c r="H86" i="12"/>
  <c r="H1943" i="29"/>
  <c r="I1963" i="29"/>
  <c r="H1653" i="29"/>
  <c r="G53" i="12"/>
  <c r="H53" i="12"/>
  <c r="I372" i="29"/>
  <c r="H1557" i="29"/>
  <c r="I1215" i="29"/>
  <c r="I1136" i="29"/>
  <c r="I1051" i="29"/>
  <c r="H1022" i="29"/>
  <c r="I703" i="29"/>
  <c r="G30" i="12"/>
  <c r="H30" i="12" s="1"/>
  <c r="I1896" i="29"/>
  <c r="H1957" i="29"/>
  <c r="H1907" i="29"/>
  <c r="I943" i="29"/>
  <c r="H1939" i="29"/>
  <c r="I1292" i="29"/>
  <c r="I1844" i="29"/>
  <c r="I1951" i="29"/>
  <c r="I1955" i="29"/>
  <c r="H1925" i="29"/>
  <c r="G63" i="12"/>
  <c r="H63" i="12" s="1"/>
  <c r="I1986" i="29"/>
  <c r="H1797" i="29"/>
  <c r="I1797" i="29"/>
  <c r="G84" i="12"/>
  <c r="H1963" i="29"/>
  <c r="G39" i="12"/>
  <c r="H39" i="12" s="1"/>
  <c r="H1901" i="29"/>
  <c r="I1901" i="29"/>
  <c r="H605" i="29"/>
  <c r="I96" i="29"/>
  <c r="H1930" i="29"/>
  <c r="H1866" i="29"/>
  <c r="I1904" i="29"/>
  <c r="H1877" i="29"/>
  <c r="H1933" i="29"/>
  <c r="H1862" i="29"/>
  <c r="D67" i="12"/>
  <c r="H67" i="12"/>
  <c r="I1943" i="29"/>
  <c r="H1951" i="29"/>
  <c r="G57" i="12"/>
  <c r="H57" i="12"/>
  <c r="D65" i="12"/>
  <c r="I1833" i="29"/>
  <c r="H1966" i="29"/>
  <c r="I1910" i="29"/>
  <c r="H1988" i="29"/>
  <c r="H496" i="29"/>
  <c r="H703" i="29"/>
  <c r="G38" i="12"/>
  <c r="H38" i="12" s="1"/>
  <c r="I1969" i="29"/>
  <c r="H92" i="12"/>
  <c r="G90" i="12"/>
  <c r="H90" i="12"/>
  <c r="H1413" i="29"/>
  <c r="H297" i="29"/>
  <c r="H104" i="12"/>
  <c r="AV114" i="12"/>
  <c r="AV118" i="12" s="1"/>
  <c r="CI109" i="12"/>
  <c r="CI111" i="12"/>
  <c r="CI112" i="12"/>
  <c r="E25" i="1"/>
  <c r="E26" i="1"/>
  <c r="Q29" i="1"/>
  <c r="Q49" i="1"/>
  <c r="J30" i="1"/>
  <c r="Q36" i="1"/>
  <c r="Q75" i="1"/>
  <c r="Q45" i="1"/>
  <c r="Q33" i="1"/>
  <c r="Q88" i="1"/>
  <c r="Q91" i="1"/>
  <c r="S91" i="1"/>
  <c r="Q100" i="1"/>
  <c r="Q89" i="1"/>
  <c r="Q92" i="1"/>
  <c r="Q54" i="1"/>
  <c r="Q84" i="1"/>
  <c r="S84" i="1" s="1"/>
  <c r="F15" i="1"/>
  <c r="F14" i="1"/>
  <c r="I342" i="22"/>
  <c r="K24" i="22"/>
  <c r="L24" i="22"/>
  <c r="G23" i="22"/>
  <c r="M24" i="22"/>
  <c r="M28" i="22"/>
  <c r="D63" i="31"/>
  <c r="H63" i="31" s="1"/>
  <c r="E25" i="20"/>
  <c r="BW118" i="12"/>
  <c r="T14" i="1"/>
  <c r="J15" i="1"/>
  <c r="Q23" i="1"/>
  <c r="E21" i="20"/>
  <c r="E19" i="20" s="1"/>
  <c r="C19" i="20" s="1"/>
  <c r="Q38" i="1"/>
  <c r="S38" i="1" s="1"/>
  <c r="H10" i="22"/>
  <c r="H2432" i="24"/>
  <c r="H1166" i="24"/>
  <c r="H4243" i="24"/>
  <c r="H3220" i="24"/>
  <c r="H3861" i="24"/>
  <c r="H1970" i="24"/>
  <c r="H2993" i="24"/>
  <c r="H4002" i="24"/>
  <c r="C999" i="24"/>
  <c r="C4292" i="24" s="1"/>
  <c r="H935" i="24"/>
  <c r="H1265" i="24"/>
  <c r="H2670" i="24"/>
  <c r="H2551" i="24"/>
  <c r="H1535" i="24"/>
  <c r="BH99" i="12"/>
  <c r="BI124" i="12"/>
  <c r="C15" i="20"/>
  <c r="C11" i="20" s="1"/>
  <c r="D25" i="20"/>
  <c r="C25" i="20"/>
  <c r="Q190" i="1"/>
  <c r="K31" i="22"/>
  <c r="F15" i="20"/>
  <c r="F11" i="20" s="1"/>
  <c r="D19" i="20"/>
  <c r="CI60" i="12"/>
  <c r="H2483" i="24"/>
  <c r="H4291" i="24"/>
  <c r="H101" i="12"/>
  <c r="CI18" i="12"/>
  <c r="CI25" i="12"/>
  <c r="CI64" i="12"/>
  <c r="CI72" i="12"/>
  <c r="AP114" i="12"/>
  <c r="AP118" i="12"/>
  <c r="CI55" i="12"/>
  <c r="CI80" i="12"/>
  <c r="CH114" i="12"/>
  <c r="BG114" i="12"/>
  <c r="BG118" i="12"/>
  <c r="BG125" i="12"/>
  <c r="CI32" i="12"/>
  <c r="CI53" i="12"/>
  <c r="Q47" i="12"/>
  <c r="CI27" i="12"/>
  <c r="CI51" i="12"/>
  <c r="BX76" i="12"/>
  <c r="CI22" i="12"/>
  <c r="CI29" i="12"/>
  <c r="CI67" i="12"/>
  <c r="CI75" i="12"/>
  <c r="CI90" i="12"/>
  <c r="BJ99" i="12"/>
  <c r="CI104" i="12"/>
  <c r="U114" i="12"/>
  <c r="U118" i="12"/>
  <c r="CI24" i="12"/>
  <c r="CI40" i="12"/>
  <c r="CI50" i="12"/>
  <c r="CI62" i="12"/>
  <c r="CI70" i="12"/>
  <c r="CI79" i="12"/>
  <c r="CI82" i="12"/>
  <c r="CI94" i="12"/>
  <c r="BX30" i="12"/>
  <c r="CI30" i="12" s="1"/>
  <c r="AH99" i="12"/>
  <c r="CD114" i="12"/>
  <c r="CD118" i="12"/>
  <c r="CI103" i="12"/>
  <c r="CF52" i="12"/>
  <c r="CI28" i="12"/>
  <c r="CI36" i="12"/>
  <c r="CI44" i="12"/>
  <c r="CI59" i="12"/>
  <c r="CI74" i="12"/>
  <c r="CI83" i="12"/>
  <c r="CI91" i="12"/>
  <c r="BX58" i="12"/>
  <c r="CI58" i="12"/>
  <c r="CI26" i="12"/>
  <c r="CI41" i="12"/>
  <c r="CI45" i="12"/>
  <c r="CI49" i="12"/>
  <c r="CI54" i="12"/>
  <c r="CI63" i="12"/>
  <c r="CI66" i="12"/>
  <c r="CI78" i="12"/>
  <c r="CI86" i="12"/>
  <c r="CI98" i="12"/>
  <c r="CI110" i="12"/>
  <c r="K126" i="12"/>
  <c r="K125" i="12"/>
  <c r="CI106" i="12"/>
  <c r="K10" i="22"/>
  <c r="D21" i="20"/>
  <c r="D29" i="20"/>
  <c r="BX52" i="12"/>
  <c r="CF99" i="12"/>
  <c r="CI76" i="12"/>
  <c r="CI52" i="12"/>
  <c r="C2019" i="29"/>
  <c r="C68" i="27"/>
  <c r="C67" i="27"/>
  <c r="G67" i="27" s="1"/>
  <c r="J214" i="1"/>
  <c r="S107" i="1"/>
  <c r="Q251" i="1"/>
  <c r="V15" i="1"/>
  <c r="Q62" i="1"/>
  <c r="E214" i="1"/>
  <c r="R214" i="1" s="1"/>
  <c r="Q216" i="1"/>
  <c r="Q132" i="1"/>
  <c r="Q199" i="1"/>
  <c r="S199" i="1" s="1"/>
  <c r="L114" i="1"/>
  <c r="Q172" i="1"/>
  <c r="N52" i="1"/>
  <c r="V51" i="1"/>
  <c r="Q97" i="1"/>
  <c r="S97" i="1" s="1"/>
  <c r="Q93" i="1"/>
  <c r="Q239" i="1"/>
  <c r="Q98" i="1"/>
  <c r="S98" i="1" s="1"/>
  <c r="Q206" i="1"/>
  <c r="E200" i="1"/>
  <c r="Q219" i="1"/>
  <c r="Q79" i="1"/>
  <c r="S79" i="1"/>
  <c r="Q43" i="1"/>
  <c r="T217" i="1"/>
  <c r="Q195" i="1"/>
  <c r="E224" i="1"/>
  <c r="E225" i="1"/>
  <c r="Q127" i="1"/>
  <c r="S127" i="1" s="1"/>
  <c r="E218" i="1"/>
  <c r="Q153" i="1"/>
  <c r="J76" i="1"/>
  <c r="J31" i="1"/>
  <c r="E217" i="1"/>
  <c r="S248" i="1"/>
  <c r="Q196" i="1"/>
  <c r="Q109" i="1"/>
  <c r="J105" i="1"/>
  <c r="Q180" i="1"/>
  <c r="Q182" i="1"/>
  <c r="Q78" i="1"/>
  <c r="Q237" i="1"/>
  <c r="Q207" i="1"/>
  <c r="T201" i="1"/>
  <c r="Q80" i="1"/>
  <c r="Q189" i="1"/>
  <c r="Q101" i="1"/>
  <c r="O126" i="12" s="1"/>
  <c r="Q133" i="1"/>
  <c r="V231" i="1"/>
  <c r="T112" i="1"/>
  <c r="Q82" i="1"/>
  <c r="Q186" i="1"/>
  <c r="S43" i="1"/>
  <c r="S216" i="1"/>
  <c r="S133" i="1"/>
  <c r="G54" i="37"/>
  <c r="C18" i="27"/>
  <c r="G18" i="27"/>
  <c r="D2019" i="29"/>
  <c r="C88" i="27"/>
  <c r="G88" i="27"/>
  <c r="G144" i="27"/>
  <c r="G49" i="37" s="1"/>
  <c r="G140" i="27"/>
  <c r="G68" i="27"/>
  <c r="E80" i="27"/>
  <c r="C80" i="27" s="1"/>
  <c r="G80" i="27" s="1"/>
  <c r="F9" i="27"/>
  <c r="F83" i="27" s="1"/>
  <c r="D10" i="27"/>
  <c r="D9" i="27" s="1"/>
  <c r="F139" i="27"/>
  <c r="F85" i="27" s="1"/>
  <c r="F84" i="27" s="1"/>
  <c r="F153" i="27" s="1"/>
  <c r="G19" i="27"/>
  <c r="D54" i="27"/>
  <c r="D49" i="27"/>
  <c r="D48" i="27" s="1"/>
  <c r="C29" i="27"/>
  <c r="G29" i="27"/>
  <c r="F55" i="37"/>
  <c r="F48" i="27"/>
  <c r="C41" i="27"/>
  <c r="G41" i="27" s="1"/>
  <c r="C101" i="27"/>
  <c r="F49" i="37"/>
  <c r="E2019" i="29"/>
  <c r="E72" i="27"/>
  <c r="C72" i="27" s="1"/>
  <c r="G72" i="27"/>
  <c r="C31" i="27"/>
  <c r="G31" i="27" s="1"/>
  <c r="I49" i="37"/>
  <c r="D101" i="27"/>
  <c r="D85" i="27"/>
  <c r="D84" i="27" s="1"/>
  <c r="T277" i="1"/>
  <c r="F164" i="32"/>
  <c r="F2013" i="29"/>
  <c r="C146" i="27"/>
  <c r="G146" i="27"/>
  <c r="V156" i="1"/>
  <c r="L253" i="1"/>
  <c r="S215" i="1"/>
  <c r="S176" i="1"/>
  <c r="R115" i="1"/>
  <c r="Q115" i="1"/>
  <c r="S115" i="1" s="1"/>
  <c r="R59" i="1"/>
  <c r="S59" i="1"/>
  <c r="Q59" i="1"/>
  <c r="Q70" i="1"/>
  <c r="R70" i="1"/>
  <c r="S70" i="1"/>
  <c r="R48" i="1"/>
  <c r="E30" i="1"/>
  <c r="R30" i="1" s="1"/>
  <c r="V77" i="1"/>
  <c r="Q58" i="1"/>
  <c r="R194" i="1"/>
  <c r="S194" i="1"/>
  <c r="Q194" i="1"/>
  <c r="R227" i="1"/>
  <c r="S227" i="1"/>
  <c r="J157" i="1"/>
  <c r="T77" i="1"/>
  <c r="Q63" i="1"/>
  <c r="S63" i="1" s="1"/>
  <c r="R245" i="1"/>
  <c r="S245" i="1"/>
  <c r="P126" i="12"/>
  <c r="Q176" i="1"/>
  <c r="R252" i="1"/>
  <c r="S252" i="1" s="1"/>
  <c r="Q230" i="1"/>
  <c r="R230" i="1"/>
  <c r="S230" i="1" s="1"/>
  <c r="S174" i="1"/>
  <c r="Q166" i="1"/>
  <c r="R166" i="1"/>
  <c r="S166" i="1" s="1"/>
  <c r="Q116" i="1"/>
  <c r="R116" i="1"/>
  <c r="R187" i="1"/>
  <c r="S187" i="1" s="1"/>
  <c r="Q187" i="1"/>
  <c r="S160" i="1"/>
  <c r="L261" i="1"/>
  <c r="L257" i="1"/>
  <c r="J156" i="1"/>
  <c r="Q99" i="1"/>
  <c r="R99" i="1"/>
  <c r="S99" i="1" s="1"/>
  <c r="T200" i="1"/>
  <c r="V200" i="1"/>
  <c r="Q243" i="1"/>
  <c r="S243" i="1" s="1"/>
  <c r="J236" i="1"/>
  <c r="J235" i="1"/>
  <c r="Q223" i="1"/>
  <c r="Q217" i="1" s="1"/>
  <c r="J217" i="1"/>
  <c r="R217" i="1" s="1"/>
  <c r="R120" i="1"/>
  <c r="R174" i="1"/>
  <c r="V235" i="1"/>
  <c r="L258" i="1"/>
  <c r="L268" i="1"/>
  <c r="Q215" i="1"/>
  <c r="Q48" i="1"/>
  <c r="R53" i="1"/>
  <c r="S53" i="1" s="1"/>
  <c r="R150" i="1"/>
  <c r="S150" i="1" s="1"/>
  <c r="R183" i="1"/>
  <c r="S183" i="1" s="1"/>
  <c r="Q210" i="1"/>
  <c r="S210" i="1" s="1"/>
  <c r="R210" i="1"/>
  <c r="J209" i="1"/>
  <c r="Q220" i="1"/>
  <c r="S220" i="1" s="1"/>
  <c r="J218" i="1"/>
  <c r="R218" i="1"/>
  <c r="S24" i="1"/>
  <c r="G130" i="1"/>
  <c r="T114" i="1"/>
  <c r="S90" i="1"/>
  <c r="R172" i="1"/>
  <c r="S172" i="1"/>
  <c r="T25" i="1"/>
  <c r="R135" i="1"/>
  <c r="S135" i="1" s="1"/>
  <c r="R184" i="1"/>
  <c r="R119" i="1"/>
  <c r="S119" i="1" s="1"/>
  <c r="R57" i="1"/>
  <c r="R148" i="1"/>
  <c r="R141" i="1"/>
  <c r="S141" i="1" s="1"/>
  <c r="R37" i="1"/>
  <c r="R40" i="1"/>
  <c r="S40" i="1"/>
  <c r="R28" i="1"/>
  <c r="S28" i="1" s="1"/>
  <c r="R155" i="1"/>
  <c r="R49" i="1"/>
  <c r="S49" i="1"/>
  <c r="R88" i="1"/>
  <c r="S88" i="1" s="1"/>
  <c r="R229" i="1"/>
  <c r="S229" i="1"/>
  <c r="R219" i="1"/>
  <c r="S219" i="1" s="1"/>
  <c r="Q191" i="1"/>
  <c r="R191" i="1"/>
  <c r="Q175" i="1"/>
  <c r="R175" i="1"/>
  <c r="R118" i="1"/>
  <c r="S118" i="1" s="1"/>
  <c r="R54" i="1"/>
  <c r="S54" i="1"/>
  <c r="S92" i="1"/>
  <c r="S45" i="1"/>
  <c r="R223" i="1"/>
  <c r="S223" i="1"/>
  <c r="R111" i="1"/>
  <c r="R39" i="1"/>
  <c r="S39" i="1"/>
  <c r="Q39" i="1"/>
  <c r="R33" i="1"/>
  <c r="S33" i="1"/>
  <c r="R20" i="1"/>
  <c r="S20" i="1" s="1"/>
  <c r="R109" i="1"/>
  <c r="S109" i="1"/>
  <c r="R197" i="1"/>
  <c r="R220" i="1"/>
  <c r="S178" i="1"/>
  <c r="R171" i="1"/>
  <c r="T106" i="1"/>
  <c r="R23" i="1"/>
  <c r="R251" i="1"/>
  <c r="S251" i="1" s="1"/>
  <c r="T76" i="1"/>
  <c r="R178" i="1"/>
  <c r="E76" i="1"/>
  <c r="R76" i="1" s="1"/>
  <c r="Q222" i="1"/>
  <c r="Q65" i="1"/>
  <c r="S65" i="1"/>
  <c r="K253" i="1"/>
  <c r="Q136" i="1"/>
  <c r="T231" i="1"/>
  <c r="T113" i="1"/>
  <c r="T209" i="1"/>
  <c r="R233" i="1"/>
  <c r="S233" i="1" s="1"/>
  <c r="R173" i="1"/>
  <c r="S173" i="1"/>
  <c r="R73" i="1"/>
  <c r="S73" i="1" s="1"/>
  <c r="Q69" i="1"/>
  <c r="G253" i="1"/>
  <c r="K258" i="1"/>
  <c r="H253" i="1"/>
  <c r="T213" i="1"/>
  <c r="Q247" i="1"/>
  <c r="Q164" i="1"/>
  <c r="S164" i="1" s="1"/>
  <c r="Q110" i="1"/>
  <c r="S110" i="1" s="1"/>
  <c r="S125" i="1"/>
  <c r="Q193" i="1"/>
  <c r="S193" i="1"/>
  <c r="Q85" i="1"/>
  <c r="S85" i="1" s="1"/>
  <c r="Q44" i="1"/>
  <c r="S44" i="1"/>
  <c r="R228" i="1"/>
  <c r="S228" i="1" s="1"/>
  <c r="R192" i="1"/>
  <c r="Q146" i="1"/>
  <c r="S146" i="1"/>
  <c r="S196" i="1"/>
  <c r="M253" i="1"/>
  <c r="M271" i="1" s="1"/>
  <c r="T214" i="1"/>
  <c r="Q151" i="1"/>
  <c r="V112" i="1"/>
  <c r="Q177" i="1"/>
  <c r="S177" i="1" s="1"/>
  <c r="R243" i="1"/>
  <c r="R239" i="1"/>
  <c r="S239" i="1" s="1"/>
  <c r="R167" i="1"/>
  <c r="S167" i="1"/>
  <c r="R139" i="1"/>
  <c r="R103" i="1"/>
  <c r="S58" i="1"/>
  <c r="S122" i="1"/>
  <c r="S86" i="1"/>
  <c r="S18" i="1"/>
  <c r="V130" i="1"/>
  <c r="T130" i="1"/>
  <c r="Q83" i="1"/>
  <c r="J224" i="1"/>
  <c r="R224" i="1"/>
  <c r="Q144" i="1"/>
  <c r="J129" i="1"/>
  <c r="J287" i="1" s="1"/>
  <c r="S148" i="1"/>
  <c r="J225" i="1"/>
  <c r="R225" i="1" s="1"/>
  <c r="Q64" i="1"/>
  <c r="S64" i="1" s="1"/>
  <c r="Q226" i="1"/>
  <c r="Q225" i="1" s="1"/>
  <c r="S181" i="1"/>
  <c r="Q37" i="1"/>
  <c r="S37" i="1"/>
  <c r="E209" i="1"/>
  <c r="R209" i="1" s="1"/>
  <c r="Q211" i="1"/>
  <c r="Q184" i="1"/>
  <c r="S74" i="1"/>
  <c r="E50" i="1"/>
  <c r="M257" i="1"/>
  <c r="K257" i="1"/>
  <c r="S69" i="1"/>
  <c r="Q74" i="1"/>
  <c r="S23" i="1"/>
  <c r="S80" i="1"/>
  <c r="Q120" i="1"/>
  <c r="J112" i="1"/>
  <c r="Q57" i="1"/>
  <c r="S57" i="1" s="1"/>
  <c r="J50" i="1"/>
  <c r="Q95" i="1"/>
  <c r="S95" i="1"/>
  <c r="J106" i="1"/>
  <c r="Q197" i="1"/>
  <c r="Q229" i="1"/>
  <c r="J200" i="1"/>
  <c r="R200" i="1"/>
  <c r="Q202" i="1"/>
  <c r="J201" i="1"/>
  <c r="J25" i="1"/>
  <c r="R25" i="1" s="1"/>
  <c r="Q28" i="1"/>
  <c r="T105" i="1"/>
  <c r="V105" i="1"/>
  <c r="Q198" i="1"/>
  <c r="H258" i="1"/>
  <c r="S136" i="1"/>
  <c r="N114" i="1"/>
  <c r="V114" i="1"/>
  <c r="V76" i="1"/>
  <c r="K261" i="1"/>
  <c r="M268" i="1"/>
  <c r="K271" i="1"/>
  <c r="G101" i="27"/>
  <c r="C40" i="27"/>
  <c r="G40" i="27"/>
  <c r="G164" i="32"/>
  <c r="M258" i="1"/>
  <c r="K268" i="1"/>
  <c r="L271" i="1"/>
  <c r="H257" i="1"/>
  <c r="H271" i="1"/>
  <c r="S120" i="1"/>
  <c r="Q213" i="1"/>
  <c r="Q214" i="1"/>
  <c r="S214" i="1"/>
  <c r="H261" i="1"/>
  <c r="S144" i="1"/>
  <c r="M261" i="1"/>
  <c r="S116" i="1"/>
  <c r="S211" i="1"/>
  <c r="H268" i="1"/>
  <c r="S202" i="1"/>
  <c r="S197" i="1"/>
  <c r="J130" i="1"/>
  <c r="S184" i="1"/>
  <c r="S83" i="1"/>
  <c r="N125" i="12"/>
  <c r="N126" i="12"/>
  <c r="AH100" i="12"/>
  <c r="AI114" i="12"/>
  <c r="AI118" i="12" s="1"/>
  <c r="BF126" i="12"/>
  <c r="BF125" i="12"/>
  <c r="BC125" i="12"/>
  <c r="BC126" i="12"/>
  <c r="CH118" i="12"/>
  <c r="J118" i="12"/>
  <c r="K18" i="15"/>
  <c r="M123" i="15"/>
  <c r="CH125" i="12"/>
  <c r="CI100" i="12"/>
  <c r="AH114" i="12"/>
  <c r="AH118" i="12"/>
  <c r="AH126" i="12" s="1"/>
  <c r="H2473" i="24"/>
  <c r="I191" i="24"/>
  <c r="H3535" i="24"/>
  <c r="H318" i="24"/>
  <c r="I4173" i="24"/>
  <c r="H3185" i="24"/>
  <c r="H3966" i="24"/>
  <c r="H3465" i="24"/>
  <c r="H675" i="24"/>
  <c r="I2539" i="24"/>
  <c r="I4291" i="24"/>
  <c r="I318" i="24"/>
  <c r="G3561" i="24"/>
  <c r="H562" i="24"/>
  <c r="I562" i="24"/>
  <c r="I675" i="24"/>
  <c r="I1166" i="24"/>
  <c r="H1457" i="24"/>
  <c r="H2212" i="24"/>
  <c r="I2473" i="24"/>
  <c r="I3290" i="24"/>
  <c r="I3325" i="24"/>
  <c r="I2353" i="24"/>
  <c r="H3826" i="24"/>
  <c r="I3896" i="24"/>
  <c r="I3360" i="24"/>
  <c r="I880" i="24"/>
  <c r="I3500" i="24"/>
  <c r="I2432" i="24"/>
  <c r="H2621" i="24"/>
  <c r="H2047" i="24"/>
  <c r="H880" i="24"/>
  <c r="H3028" i="24"/>
  <c r="H4173" i="24"/>
  <c r="I4002" i="24"/>
  <c r="I2425" i="24"/>
  <c r="I2438" i="24"/>
  <c r="I2441" i="24"/>
  <c r="I2923" i="24"/>
  <c r="I3395" i="24"/>
  <c r="I3535" i="24"/>
  <c r="I4070" i="24"/>
  <c r="I4105" i="24"/>
  <c r="I4278" i="24"/>
  <c r="I2548" i="24"/>
  <c r="I2212" i="24"/>
  <c r="H3360" i="24"/>
  <c r="H3150" i="24"/>
  <c r="H919" i="24"/>
  <c r="H2133" i="24"/>
  <c r="I3570" i="24"/>
  <c r="I2133" i="24"/>
  <c r="H724" i="24"/>
  <c r="I1099" i="24"/>
  <c r="I2586" i="24"/>
  <c r="H2923" i="24"/>
  <c r="I3150" i="24"/>
  <c r="I3185" i="24"/>
  <c r="I3255" i="24"/>
  <c r="H3395" i="24"/>
  <c r="H3931" i="24"/>
  <c r="I3931" i="24"/>
  <c r="I4035" i="24"/>
  <c r="I2545" i="24"/>
  <c r="H434" i="24"/>
  <c r="I434" i="24"/>
  <c r="I4140" i="24"/>
  <c r="I3640" i="24"/>
  <c r="I3080" i="24"/>
  <c r="H2853" i="24"/>
  <c r="H3255" i="24"/>
  <c r="H1584" i="24"/>
  <c r="H2548" i="24"/>
  <c r="H3430" i="24"/>
  <c r="H765" i="24"/>
  <c r="H4070" i="24"/>
  <c r="H3325" i="24"/>
  <c r="H4278" i="24"/>
  <c r="H819" i="24"/>
  <c r="H2441" i="24"/>
  <c r="H2539" i="24"/>
  <c r="D4292" i="24"/>
  <c r="H4140" i="24"/>
  <c r="H3290" i="24"/>
  <c r="H3115" i="24"/>
  <c r="H4035" i="24"/>
  <c r="H2425" i="24"/>
  <c r="H191" i="24"/>
  <c r="H615" i="24"/>
  <c r="H1876" i="24"/>
  <c r="E4292" i="24"/>
  <c r="H4292" i="24" s="1"/>
  <c r="H3570" i="24"/>
  <c r="H4208" i="24"/>
  <c r="H474" i="24"/>
  <c r="H1781" i="24"/>
  <c r="H3080" i="24"/>
  <c r="H2888" i="24"/>
  <c r="BY124" i="12"/>
  <c r="BJ124" i="12"/>
  <c r="BA126" i="12"/>
  <c r="BA125" i="12"/>
  <c r="H83" i="12"/>
  <c r="D99" i="12"/>
  <c r="D114" i="12" s="1"/>
  <c r="D118" i="12" s="1"/>
  <c r="AS114" i="12"/>
  <c r="AS118" i="12"/>
  <c r="H45" i="12"/>
  <c r="G99" i="12"/>
  <c r="H59" i="12"/>
  <c r="L126" i="12"/>
  <c r="BZ124" i="12"/>
  <c r="D47" i="12"/>
  <c r="CU113" i="12"/>
  <c r="CU110" i="12"/>
  <c r="CU105" i="12"/>
  <c r="CU92" i="12"/>
  <c r="CU89" i="12"/>
  <c r="CU77" i="12"/>
  <c r="CU72" i="12"/>
  <c r="CU69" i="12"/>
  <c r="CU64" i="12"/>
  <c r="CU57" i="12"/>
  <c r="CU54" i="12"/>
  <c r="CU101" i="12"/>
  <c r="CU97" i="12"/>
  <c r="CU85" i="12"/>
  <c r="CU80" i="12"/>
  <c r="CU60" i="12"/>
  <c r="CU51" i="12"/>
  <c r="CU47" i="12"/>
  <c r="CU35" i="12"/>
  <c r="CU27" i="12"/>
  <c r="CU24" i="12"/>
  <c r="CU109" i="12"/>
  <c r="CU106" i="12"/>
  <c r="CU100" i="12"/>
  <c r="CU76" i="12"/>
  <c r="CU40" i="12"/>
  <c r="CU29" i="12"/>
  <c r="CU49" i="12"/>
  <c r="CU41" i="12"/>
  <c r="CU39" i="12"/>
  <c r="CU34" i="12"/>
  <c r="CU32" i="12"/>
  <c r="CU30" i="12"/>
  <c r="CU28" i="12"/>
  <c r="CU99" i="12"/>
  <c r="CU114" i="12"/>
  <c r="CU118" i="12"/>
  <c r="S225" i="1" l="1"/>
  <c r="F172" i="27"/>
  <c r="F204" i="27"/>
  <c r="F160" i="27"/>
  <c r="F203" i="27"/>
  <c r="S217" i="1"/>
  <c r="I4292" i="24"/>
  <c r="C4299" i="24"/>
  <c r="C167" i="27"/>
  <c r="S29" i="1"/>
  <c r="R212" i="1"/>
  <c r="Q212" i="1"/>
  <c r="E208" i="1"/>
  <c r="R208" i="1" s="1"/>
  <c r="H999" i="24"/>
  <c r="Q224" i="1"/>
  <c r="S224" i="1" s="1"/>
  <c r="G271" i="1"/>
  <c r="G261" i="1"/>
  <c r="G268" i="1"/>
  <c r="G258" i="1"/>
  <c r="G257" i="1"/>
  <c r="Q218" i="1"/>
  <c r="S218" i="1" s="1"/>
  <c r="C49" i="27"/>
  <c r="G49" i="27" s="1"/>
  <c r="M23" i="22"/>
  <c r="R26" i="1"/>
  <c r="I1509" i="29"/>
  <c r="H1868" i="29"/>
  <c r="V157" i="1"/>
  <c r="S151" i="1"/>
  <c r="E29" i="20"/>
  <c r="C29" i="20" s="1"/>
  <c r="C21" i="20"/>
  <c r="K127" i="22"/>
  <c r="C2002" i="29"/>
  <c r="I327" i="29"/>
  <c r="G25" i="12"/>
  <c r="G145" i="27"/>
  <c r="C139" i="27"/>
  <c r="G139" i="27" s="1"/>
  <c r="R143" i="1"/>
  <c r="Q143" i="1"/>
  <c r="AH125" i="12"/>
  <c r="I2818" i="24"/>
  <c r="I999" i="24"/>
  <c r="Q106" i="1"/>
  <c r="D153" i="27"/>
  <c r="N253" i="1"/>
  <c r="S195" i="1"/>
  <c r="Q128" i="1"/>
  <c r="L23" i="22"/>
  <c r="H65" i="12"/>
  <c r="H1605" i="29"/>
  <c r="I1749" i="29"/>
  <c r="F56" i="12"/>
  <c r="H56" i="12" s="1"/>
  <c r="I36" i="32"/>
  <c r="C156" i="32"/>
  <c r="Q140" i="1"/>
  <c r="R140" i="1"/>
  <c r="I30" i="32"/>
  <c r="H30" i="32"/>
  <c r="F77" i="12"/>
  <c r="H77" i="12" s="1"/>
  <c r="H16" i="32"/>
  <c r="I16" i="32"/>
  <c r="H748" i="29"/>
  <c r="I748" i="29"/>
  <c r="F65" i="12"/>
  <c r="H28" i="32"/>
  <c r="R56" i="1"/>
  <c r="Q56" i="1"/>
  <c r="J51" i="1"/>
  <c r="J52" i="1" s="1"/>
  <c r="H202" i="29"/>
  <c r="E244" i="29"/>
  <c r="E2002" i="29" s="1"/>
  <c r="D83" i="27"/>
  <c r="D203" i="27" s="1"/>
  <c r="R50" i="1"/>
  <c r="E84" i="27"/>
  <c r="C84" i="27" s="1"/>
  <c r="G84" i="27" s="1"/>
  <c r="C10" i="27"/>
  <c r="G10" i="27" s="1"/>
  <c r="BX99" i="12"/>
  <c r="H327" i="29"/>
  <c r="S269" i="1"/>
  <c r="S270" i="1" s="1"/>
  <c r="I659" i="29"/>
  <c r="H659" i="29"/>
  <c r="S213" i="1"/>
  <c r="C28" i="27"/>
  <c r="G28" i="27" s="1"/>
  <c r="E9" i="27"/>
  <c r="C55" i="27"/>
  <c r="G55" i="27" s="1"/>
  <c r="E54" i="27"/>
  <c r="F2002" i="29"/>
  <c r="G2002" i="29"/>
  <c r="H1881" i="29"/>
  <c r="I1881" i="29"/>
  <c r="H1879" i="29"/>
  <c r="I1879" i="29"/>
  <c r="I1872" i="29"/>
  <c r="H1872" i="29"/>
  <c r="I201" i="29"/>
  <c r="H201" i="29"/>
  <c r="H158" i="29"/>
  <c r="H96" i="29"/>
  <c r="D2002" i="29"/>
  <c r="D2018" i="29" s="1"/>
  <c r="S247" i="1"/>
  <c r="R162" i="1"/>
  <c r="Q162" i="1"/>
  <c r="Q156" i="1" s="1"/>
  <c r="E156" i="1"/>
  <c r="R156" i="1" s="1"/>
  <c r="R81" i="1"/>
  <c r="S81" i="1" s="1"/>
  <c r="Q81" i="1"/>
  <c r="E77" i="1"/>
  <c r="R77" i="1" s="1"/>
  <c r="R66" i="1"/>
  <c r="Q66" i="1"/>
  <c r="R61" i="1"/>
  <c r="S61" i="1" s="1"/>
  <c r="E51" i="1"/>
  <c r="R137" i="1"/>
  <c r="S137" i="1" s="1"/>
  <c r="E128" i="1"/>
  <c r="R128" i="1" s="1"/>
  <c r="Q137" i="1"/>
  <c r="E129" i="1"/>
  <c r="R41" i="1"/>
  <c r="Q41" i="1"/>
  <c r="Q30" i="1" s="1"/>
  <c r="S30" i="1" s="1"/>
  <c r="E31" i="1"/>
  <c r="R31" i="1" s="1"/>
  <c r="Q17" i="1"/>
  <c r="J14" i="1"/>
  <c r="J253" i="1" s="1"/>
  <c r="R22" i="1"/>
  <c r="S22" i="1" s="1"/>
  <c r="Q22" i="1"/>
  <c r="E14" i="1"/>
  <c r="E15" i="1"/>
  <c r="R15" i="1" s="1"/>
  <c r="I1883" i="29"/>
  <c r="H1883" i="29"/>
  <c r="I1859" i="29"/>
  <c r="H1859" i="29"/>
  <c r="S189" i="1"/>
  <c r="R126" i="1"/>
  <c r="E112" i="1"/>
  <c r="R112" i="1" s="1"/>
  <c r="E113" i="1"/>
  <c r="Q126" i="1"/>
  <c r="R240" i="1"/>
  <c r="Q240" i="1"/>
  <c r="E201" i="1"/>
  <c r="R201" i="1" s="1"/>
  <c r="R204" i="1"/>
  <c r="H20" i="12"/>
  <c r="H23" i="12" s="1"/>
  <c r="F23" i="12"/>
  <c r="L215" i="22"/>
  <c r="G214" i="22"/>
  <c r="L78" i="22"/>
  <c r="Q60" i="1"/>
  <c r="R60" i="1"/>
  <c r="S149" i="1"/>
  <c r="J26" i="1"/>
  <c r="Q27" i="1"/>
  <c r="R27" i="1"/>
  <c r="S244" i="1"/>
  <c r="R19" i="1"/>
  <c r="S19" i="1" s="1"/>
  <c r="Q139" i="1"/>
  <c r="S139" i="1" s="1"/>
  <c r="H2586" i="24"/>
  <c r="R168" i="1"/>
  <c r="S168" i="1" s="1"/>
  <c r="I35" i="37"/>
  <c r="H35" i="37"/>
  <c r="R159" i="1"/>
  <c r="Q159" i="1"/>
  <c r="O52" i="1"/>
  <c r="T51" i="1"/>
  <c r="H1387" i="24"/>
  <c r="AD114" i="12"/>
  <c r="AD118" i="12" s="1"/>
  <c r="AD125" i="12" s="1"/>
  <c r="M215" i="22"/>
  <c r="G205" i="22"/>
  <c r="M206" i="22"/>
  <c r="I3220" i="24"/>
  <c r="R16" i="1"/>
  <c r="Q16" i="1"/>
  <c r="C35" i="27"/>
  <c r="G35" i="27" s="1"/>
  <c r="R165" i="1"/>
  <c r="S165" i="1" s="1"/>
  <c r="R117" i="1"/>
  <c r="Q117" i="1"/>
  <c r="E106" i="1"/>
  <c r="R106" i="1" s="1"/>
  <c r="E105" i="1"/>
  <c r="R105" i="1" s="1"/>
  <c r="Q111" i="1"/>
  <c r="Q68" i="1"/>
  <c r="R68" i="1"/>
  <c r="S132" i="1"/>
  <c r="R145" i="1"/>
  <c r="S145" i="1" s="1"/>
  <c r="F3561" i="24"/>
  <c r="I919" i="24"/>
  <c r="I2853" i="24"/>
  <c r="CI102" i="12"/>
  <c r="R78" i="1"/>
  <c r="M221" i="22"/>
  <c r="L221" i="22"/>
  <c r="Q204" i="1"/>
  <c r="S62" i="1"/>
  <c r="R234" i="1"/>
  <c r="Q234" i="1"/>
  <c r="V232" i="1"/>
  <c r="T232" i="1"/>
  <c r="BX33" i="12"/>
  <c r="CF47" i="12"/>
  <c r="CF114" i="12" s="1"/>
  <c r="CF118" i="12" s="1"/>
  <c r="CF125" i="12" s="1"/>
  <c r="F100" i="12"/>
  <c r="H100" i="12" s="1"/>
  <c r="H54" i="32"/>
  <c r="Q73" i="12"/>
  <c r="CI73" i="12" s="1"/>
  <c r="T99" i="12"/>
  <c r="T114" i="12" s="1"/>
  <c r="T118" i="12" s="1"/>
  <c r="M14" i="22"/>
  <c r="L14" i="22"/>
  <c r="G11" i="22"/>
  <c r="G49" i="22"/>
  <c r="G77" i="22"/>
  <c r="K119" i="22"/>
  <c r="H110" i="22"/>
  <c r="M142" i="22"/>
  <c r="L142" i="22"/>
  <c r="G128" i="22"/>
  <c r="M152" i="22"/>
  <c r="L152" i="22"/>
  <c r="G154" i="22"/>
  <c r="C66" i="31"/>
  <c r="C106" i="31" s="1"/>
  <c r="H67" i="31"/>
  <c r="I236" i="1"/>
  <c r="E246" i="1"/>
  <c r="I235" i="1"/>
  <c r="I253" i="1" s="1"/>
  <c r="I23" i="37"/>
  <c r="H23" i="37"/>
  <c r="H10" i="37"/>
  <c r="I10" i="37"/>
  <c r="E41" i="37"/>
  <c r="H41" i="37" s="1"/>
  <c r="E99" i="12"/>
  <c r="E114" i="12" s="1"/>
  <c r="E118" i="12" s="1"/>
  <c r="H80" i="12"/>
  <c r="R158" i="1"/>
  <c r="S158" i="1" s="1"/>
  <c r="E157" i="1"/>
  <c r="R157" i="1" s="1"/>
  <c r="R94" i="1"/>
  <c r="S94" i="1" s="1"/>
  <c r="R206" i="1"/>
  <c r="S206" i="1" s="1"/>
  <c r="AB114" i="12"/>
  <c r="AB118" i="12" s="1"/>
  <c r="AB125" i="12" s="1"/>
  <c r="R72" i="1"/>
  <c r="S72" i="1" s="1"/>
  <c r="H78" i="32"/>
  <c r="H31" i="37"/>
  <c r="H78" i="12"/>
  <c r="R17" i="1"/>
  <c r="S17" i="1" s="1"/>
  <c r="R249" i="1"/>
  <c r="S249" i="1" s="1"/>
  <c r="F76" i="12"/>
  <c r="H76" i="12" s="1"/>
  <c r="I71" i="32"/>
  <c r="CI57" i="12"/>
  <c r="R138" i="1"/>
  <c r="S138" i="1" s="1"/>
  <c r="H3896" i="24"/>
  <c r="BE114" i="12"/>
  <c r="BE118" i="12" s="1"/>
  <c r="I1804" i="29"/>
  <c r="R131" i="1"/>
  <c r="S131" i="1" s="1"/>
  <c r="H25" i="37"/>
  <c r="R101" i="1"/>
  <c r="S101" i="1" s="1"/>
  <c r="Q46" i="1"/>
  <c r="R34" i="1"/>
  <c r="S34" i="1" s="1"/>
  <c r="BR114" i="12"/>
  <c r="BR118" i="12" s="1"/>
  <c r="X99" i="12"/>
  <c r="X114" i="12" s="1"/>
  <c r="X118" i="12" s="1"/>
  <c r="CI56" i="12"/>
  <c r="CI31" i="12"/>
  <c r="R226" i="1"/>
  <c r="S226" i="1" s="1"/>
  <c r="R250" i="1"/>
  <c r="S250" i="1" s="1"/>
  <c r="BO114" i="12"/>
  <c r="BO118" i="12" s="1"/>
  <c r="R114" i="12"/>
  <c r="R118" i="12" s="1"/>
  <c r="BU114" i="12"/>
  <c r="BU118" i="12" s="1"/>
  <c r="I202" i="29"/>
  <c r="I31" i="37"/>
  <c r="I3708" i="24"/>
  <c r="T218" i="1"/>
  <c r="S163" i="1"/>
  <c r="CI61" i="12"/>
  <c r="CI81" i="12"/>
  <c r="CI85" i="12"/>
  <c r="O30" i="1"/>
  <c r="O31" i="1"/>
  <c r="V31" i="1" s="1"/>
  <c r="V34" i="1"/>
  <c r="CI21" i="12"/>
  <c r="CI84" i="12"/>
  <c r="T166" i="1"/>
  <c r="V166" i="1"/>
  <c r="BI47" i="12"/>
  <c r="BI114" i="12" s="1"/>
  <c r="BI118" i="12" s="1"/>
  <c r="BH43" i="12"/>
  <c r="BI23" i="12"/>
  <c r="BH19" i="12"/>
  <c r="CI87" i="12"/>
  <c r="T16" i="1"/>
  <c r="T185" i="1"/>
  <c r="T32" i="1"/>
  <c r="P31" i="1"/>
  <c r="T34" i="1"/>
  <c r="CI38" i="12"/>
  <c r="CI46" i="12"/>
  <c r="CI93" i="12"/>
  <c r="CI88" i="12"/>
  <c r="G50" i="22"/>
  <c r="M140" i="22"/>
  <c r="L140" i="22"/>
  <c r="K154" i="22"/>
  <c r="H153" i="22"/>
  <c r="K153" i="22" s="1"/>
  <c r="I192" i="22"/>
  <c r="I278" i="22" s="1"/>
  <c r="K193" i="22"/>
  <c r="L213" i="22"/>
  <c r="M213" i="22"/>
  <c r="F235" i="1"/>
  <c r="F253" i="1" s="1"/>
  <c r="H137" i="32"/>
  <c r="E140" i="32"/>
  <c r="I137" i="32"/>
  <c r="I54" i="32"/>
  <c r="V57" i="1"/>
  <c r="O50" i="1"/>
  <c r="CI35" i="12"/>
  <c r="CI65" i="12"/>
  <c r="CI68" i="12"/>
  <c r="CI71" i="12"/>
  <c r="CI77" i="12"/>
  <c r="CI97" i="12"/>
  <c r="G121" i="22"/>
  <c r="K121" i="22"/>
  <c r="H68" i="12"/>
  <c r="F25" i="20"/>
  <c r="F21" i="20" s="1"/>
  <c r="H1900" i="29"/>
  <c r="I1803" i="29"/>
  <c r="I1806" i="29"/>
  <c r="I1816" i="29"/>
  <c r="R154" i="1"/>
  <c r="R222" i="1"/>
  <c r="S222" i="1" s="1"/>
  <c r="CI89" i="12"/>
  <c r="H51" i="32"/>
  <c r="E52" i="32"/>
  <c r="E156" i="32" s="1"/>
  <c r="H156" i="32" s="1"/>
  <c r="I51" i="32"/>
  <c r="I151" i="32"/>
  <c r="I153" i="32"/>
  <c r="T57" i="1"/>
  <c r="CI42" i="12"/>
  <c r="CI48" i="12"/>
  <c r="CI69" i="12"/>
  <c r="CB114" i="12"/>
  <c r="CB118" i="12" s="1"/>
  <c r="CB125" i="12" s="1"/>
  <c r="I924" i="24"/>
  <c r="H924" i="24"/>
  <c r="H17" i="15"/>
  <c r="M54" i="22"/>
  <c r="L54" i="22"/>
  <c r="L136" i="22"/>
  <c r="M136" i="22"/>
  <c r="K192" i="22"/>
  <c r="K196" i="22"/>
  <c r="G196" i="22"/>
  <c r="H205" i="22"/>
  <c r="K205" i="22" s="1"/>
  <c r="K206" i="22"/>
  <c r="R238" i="1"/>
  <c r="S238" i="1" s="1"/>
  <c r="G31" i="22"/>
  <c r="M223" i="22"/>
  <c r="G222" i="22"/>
  <c r="G226" i="22"/>
  <c r="I94" i="32"/>
  <c r="CI117" i="12"/>
  <c r="M55" i="22"/>
  <c r="H49" i="22"/>
  <c r="G110" i="22"/>
  <c r="L146" i="22"/>
  <c r="F77" i="1"/>
  <c r="P156" i="1"/>
  <c r="L118" i="22"/>
  <c r="L143" i="22"/>
  <c r="L184" i="22"/>
  <c r="K215" i="22"/>
  <c r="K221" i="22"/>
  <c r="H72" i="31"/>
  <c r="D66" i="31"/>
  <c r="K160" i="22"/>
  <c r="K56" i="22"/>
  <c r="K57" i="22"/>
  <c r="I288" i="22" l="1"/>
  <c r="I343" i="22"/>
  <c r="E2018" i="29"/>
  <c r="H2018" i="29" s="1"/>
  <c r="H2002" i="29"/>
  <c r="T50" i="1"/>
  <c r="V50" i="1"/>
  <c r="H140" i="32"/>
  <c r="I140" i="32"/>
  <c r="O253" i="1"/>
  <c r="V30" i="1"/>
  <c r="T30" i="1"/>
  <c r="Q157" i="1"/>
  <c r="Q283" i="1"/>
  <c r="Q236" i="1"/>
  <c r="R14" i="1"/>
  <c r="S14" i="1" s="1"/>
  <c r="E130" i="1"/>
  <c r="R130" i="1" s="1"/>
  <c r="R129" i="1"/>
  <c r="S129" i="1" s="1"/>
  <c r="R51" i="1"/>
  <c r="S51" i="1" s="1"/>
  <c r="E52" i="1"/>
  <c r="R52" i="1" s="1"/>
  <c r="F2014" i="29"/>
  <c r="F2018" i="29" s="1"/>
  <c r="F2012" i="29"/>
  <c r="H25" i="12"/>
  <c r="H47" i="12" s="1"/>
  <c r="G47" i="12"/>
  <c r="G114" i="12" s="1"/>
  <c r="G118" i="12" s="1"/>
  <c r="Q208" i="1"/>
  <c r="S208" i="1" s="1"/>
  <c r="Q209" i="1"/>
  <c r="S209" i="1" s="1"/>
  <c r="K17" i="15"/>
  <c r="H16" i="15"/>
  <c r="H144" i="15"/>
  <c r="M17" i="15"/>
  <c r="L121" i="22"/>
  <c r="M121" i="22"/>
  <c r="T31" i="1"/>
  <c r="S46" i="1"/>
  <c r="X125" i="12"/>
  <c r="BE125" i="12"/>
  <c r="BE126" i="12"/>
  <c r="I271" i="1"/>
  <c r="I268" i="1"/>
  <c r="I258" i="1"/>
  <c r="I261" i="1"/>
  <c r="I257" i="1"/>
  <c r="M128" i="22"/>
  <c r="G127" i="22"/>
  <c r="O128" i="22"/>
  <c r="L128" i="22"/>
  <c r="Q99" i="12"/>
  <c r="CI33" i="12"/>
  <c r="BX47" i="12"/>
  <c r="S234" i="1"/>
  <c r="S68" i="1"/>
  <c r="S106" i="1"/>
  <c r="S27" i="1"/>
  <c r="S60" i="1"/>
  <c r="M214" i="22"/>
  <c r="L214" i="22"/>
  <c r="S204" i="1"/>
  <c r="S240" i="1"/>
  <c r="S126" i="1"/>
  <c r="Q129" i="1"/>
  <c r="Q130" i="1" s="1"/>
  <c r="Q77" i="1"/>
  <c r="S77" i="1" s="1"/>
  <c r="Q76" i="1"/>
  <c r="S76" i="1" s="1"/>
  <c r="S162" i="1"/>
  <c r="C54" i="27"/>
  <c r="G54" i="27" s="1"/>
  <c r="E48" i="27"/>
  <c r="C48" i="27" s="1"/>
  <c r="G48" i="27" s="1"/>
  <c r="S50" i="1"/>
  <c r="S140" i="1"/>
  <c r="S143" i="1"/>
  <c r="S212" i="1"/>
  <c r="L222" i="22"/>
  <c r="M222" i="22"/>
  <c r="F50" i="12"/>
  <c r="H52" i="32"/>
  <c r="I52" i="32"/>
  <c r="S157" i="1"/>
  <c r="H342" i="22"/>
  <c r="H109" i="22"/>
  <c r="K109" i="22" s="1"/>
  <c r="K110" i="22"/>
  <c r="M11" i="22"/>
  <c r="G10" i="22"/>
  <c r="L11" i="22"/>
  <c r="Q231" i="1"/>
  <c r="S231" i="1" s="1"/>
  <c r="Q232" i="1"/>
  <c r="S232" i="1" s="1"/>
  <c r="G109" i="22"/>
  <c r="L110" i="22"/>
  <c r="M110" i="22"/>
  <c r="F258" i="1"/>
  <c r="F261" i="1"/>
  <c r="F271" i="1"/>
  <c r="F268" i="1"/>
  <c r="F257" i="1"/>
  <c r="BH23" i="12"/>
  <c r="CI23" i="12" s="1"/>
  <c r="CI19" i="12"/>
  <c r="R246" i="1"/>
  <c r="Q246" i="1"/>
  <c r="Q235" i="1" s="1"/>
  <c r="E235" i="1"/>
  <c r="R235" i="1" s="1"/>
  <c r="S235" i="1" s="1"/>
  <c r="M154" i="22"/>
  <c r="L154" i="22"/>
  <c r="G153" i="22"/>
  <c r="M77" i="22"/>
  <c r="L77" i="22"/>
  <c r="Q112" i="1"/>
  <c r="Q113" i="1"/>
  <c r="Q114" i="1" s="1"/>
  <c r="Q14" i="1"/>
  <c r="Q15" i="1"/>
  <c r="S15" i="1" s="1"/>
  <c r="L205" i="22"/>
  <c r="M205" i="22"/>
  <c r="Q25" i="1"/>
  <c r="S25" i="1" s="1"/>
  <c r="Q26" i="1"/>
  <c r="S26" i="1" s="1"/>
  <c r="Q31" i="1"/>
  <c r="S31" i="1" s="1"/>
  <c r="S128" i="1"/>
  <c r="BX114" i="12"/>
  <c r="BX118" i="12" s="1"/>
  <c r="Q50" i="1"/>
  <c r="Q51" i="1"/>
  <c r="Q52" i="1" s="1"/>
  <c r="N261" i="1"/>
  <c r="N258" i="1"/>
  <c r="N257" i="1"/>
  <c r="N271" i="1"/>
  <c r="N268" i="1"/>
  <c r="I2002" i="29"/>
  <c r="C2018" i="29"/>
  <c r="I41" i="37"/>
  <c r="CI43" i="12"/>
  <c r="BH47" i="12"/>
  <c r="S112" i="1"/>
  <c r="M31" i="22"/>
  <c r="L31" i="22"/>
  <c r="G30" i="22"/>
  <c r="L196" i="22"/>
  <c r="M196" i="22"/>
  <c r="F29" i="20"/>
  <c r="F19" i="20"/>
  <c r="H66" i="31"/>
  <c r="D106" i="31"/>
  <c r="H106" i="31" s="1"/>
  <c r="G193" i="22"/>
  <c r="T156" i="1"/>
  <c r="P253" i="1"/>
  <c r="K49" i="22"/>
  <c r="H278" i="22"/>
  <c r="L226" i="22"/>
  <c r="G225" i="22"/>
  <c r="M226" i="22"/>
  <c r="M50" i="22"/>
  <c r="L50" i="22"/>
  <c r="L49" i="22"/>
  <c r="M49" i="22"/>
  <c r="Q200" i="1"/>
  <c r="S200" i="1" s="1"/>
  <c r="Q201" i="1"/>
  <c r="S201" i="1" s="1"/>
  <c r="S111" i="1"/>
  <c r="Q105" i="1"/>
  <c r="S105" i="1" s="1"/>
  <c r="S117" i="1"/>
  <c r="S16" i="1"/>
  <c r="V52" i="1"/>
  <c r="T52" i="1"/>
  <c r="E236" i="1"/>
  <c r="R236" i="1" s="1"/>
  <c r="S236" i="1" s="1"/>
  <c r="E114" i="1"/>
  <c r="R114" i="1" s="1"/>
  <c r="R113" i="1"/>
  <c r="S113" i="1" s="1"/>
  <c r="R256" i="1"/>
  <c r="J268" i="1"/>
  <c r="J271" i="1"/>
  <c r="J261" i="1"/>
  <c r="J258" i="1"/>
  <c r="J257" i="1"/>
  <c r="S41" i="1"/>
  <c r="S66" i="1"/>
  <c r="G2014" i="29"/>
  <c r="G2018" i="29" s="1"/>
  <c r="G2012" i="29"/>
  <c r="E153" i="27"/>
  <c r="C9" i="27"/>
  <c r="H244" i="29"/>
  <c r="I244" i="29"/>
  <c r="I156" i="32"/>
  <c r="D160" i="27"/>
  <c r="D166" i="27" s="1"/>
  <c r="D172" i="27"/>
  <c r="D204" i="27"/>
  <c r="G51" i="37"/>
  <c r="G55" i="37" s="1"/>
  <c r="G2013" i="29"/>
  <c r="G166" i="32"/>
  <c r="G170" i="32" s="1"/>
  <c r="C83" i="27" l="1"/>
  <c r="G9" i="27"/>
  <c r="C153" i="27"/>
  <c r="K278" i="22"/>
  <c r="H288" i="22"/>
  <c r="CI47" i="12"/>
  <c r="BH114" i="12"/>
  <c r="BH118" i="12" s="1"/>
  <c r="BY129" i="12"/>
  <c r="E4316" i="24"/>
  <c r="E4299" i="24"/>
  <c r="E4313" i="24"/>
  <c r="C4313" i="24"/>
  <c r="E4314" i="24"/>
  <c r="Q114" i="12"/>
  <c r="CI99" i="12"/>
  <c r="E172" i="27"/>
  <c r="E204" i="27"/>
  <c r="E160" i="27"/>
  <c r="E166" i="27" s="1"/>
  <c r="E83" i="27"/>
  <c r="E203" i="27" s="1"/>
  <c r="L225" i="22"/>
  <c r="M225" i="22"/>
  <c r="P268" i="1"/>
  <c r="P261" i="1"/>
  <c r="P258" i="1"/>
  <c r="T253" i="1"/>
  <c r="T278" i="1" s="1"/>
  <c r="P257" i="1"/>
  <c r="P271" i="1"/>
  <c r="L153" i="22"/>
  <c r="M153" i="22"/>
  <c r="G265" i="1"/>
  <c r="L109" i="22"/>
  <c r="M109" i="22"/>
  <c r="M10" i="22"/>
  <c r="L10" i="22"/>
  <c r="G278" i="22"/>
  <c r="J284" i="22" s="1"/>
  <c r="H343" i="22"/>
  <c r="H50" i="12"/>
  <c r="H99" i="12" s="1"/>
  <c r="H114" i="12" s="1"/>
  <c r="H118" i="12" s="1"/>
  <c r="F99" i="12"/>
  <c r="F114" i="12" s="1"/>
  <c r="F118" i="12" s="1"/>
  <c r="F122" i="12" s="1"/>
  <c r="CI125" i="12"/>
  <c r="O257" i="1"/>
  <c r="O258" i="1"/>
  <c r="Q265" i="1"/>
  <c r="O268" i="1"/>
  <c r="O261" i="1"/>
  <c r="N267" i="1"/>
  <c r="V253" i="1"/>
  <c r="O271" i="1"/>
  <c r="L193" i="22"/>
  <c r="M193" i="22"/>
  <c r="G192" i="22"/>
  <c r="K16" i="15"/>
  <c r="M16" i="15"/>
  <c r="H138" i="15"/>
  <c r="C158" i="27"/>
  <c r="Q253" i="1"/>
  <c r="M30" i="22"/>
  <c r="L30" i="22"/>
  <c r="I2018" i="29"/>
  <c r="S246" i="1"/>
  <c r="S253" i="1" s="1"/>
  <c r="S254" i="1" s="1"/>
  <c r="M127" i="22"/>
  <c r="L127" i="22"/>
  <c r="E253" i="1"/>
  <c r="BK113" i="1"/>
  <c r="Q257" i="1" l="1"/>
  <c r="Q271" i="1"/>
  <c r="Q258" i="1"/>
  <c r="Q268" i="1"/>
  <c r="Q261" i="1"/>
  <c r="C172" i="27"/>
  <c r="C204" i="27"/>
  <c r="G153" i="27"/>
  <c r="C160" i="27"/>
  <c r="C166" i="27" s="1"/>
  <c r="CI114" i="12"/>
  <c r="Q118" i="12"/>
  <c r="L278" i="22"/>
  <c r="G288" i="22"/>
  <c r="M278" i="22"/>
  <c r="O260" i="1"/>
  <c r="E271" i="1"/>
  <c r="Q264" i="1"/>
  <c r="E261" i="1"/>
  <c r="R253" i="1"/>
  <c r="E258" i="1"/>
  <c r="E257" i="1"/>
  <c r="E268" i="1"/>
  <c r="L192" i="22"/>
  <c r="M192" i="22"/>
  <c r="C4316" i="24"/>
  <c r="D4316" i="24"/>
  <c r="BH126" i="12"/>
  <c r="BH125" i="12"/>
  <c r="D4299" i="24"/>
  <c r="D4314" i="24"/>
  <c r="D4313" i="24"/>
  <c r="C4314" i="24"/>
  <c r="BL147" i="12"/>
  <c r="K138" i="15"/>
  <c r="H145" i="15"/>
  <c r="H274" i="15"/>
  <c r="G83" i="27"/>
  <c r="C203" i="27"/>
  <c r="R257" i="1" l="1"/>
  <c r="R261" i="1"/>
  <c r="R258" i="1"/>
  <c r="R268" i="1"/>
  <c r="Q125" i="12"/>
  <c r="CI118" i="12"/>
</calcChain>
</file>

<file path=xl/sharedStrings.xml><?xml version="1.0" encoding="utf-8"?>
<sst xmlns="http://schemas.openxmlformats.org/spreadsheetml/2006/main" count="4176" uniqueCount="2161">
  <si>
    <t>Додаткова дотація з державного бюджету місцевим бюджетам на забезпечення пальним станцій (відділень) екстреної, швидкої та невідкладної медичної допомоги</t>
  </si>
  <si>
    <t>Заходи державної політики з питань дітей та їх соціального захисту</t>
  </si>
  <si>
    <t>Фіксований податок на доходи фізичних осіб від зайняття підприємницькою діяльністю</t>
  </si>
  <si>
    <t>Податок на прибуток підприємств</t>
  </si>
  <si>
    <t>0111</t>
  </si>
  <si>
    <t>1090</t>
  </si>
  <si>
    <t>0511</t>
  </si>
  <si>
    <t>0180</t>
  </si>
  <si>
    <t>1140</t>
  </si>
  <si>
    <t>0950</t>
  </si>
  <si>
    <t>0133</t>
  </si>
  <si>
    <t>1040</t>
  </si>
  <si>
    <t>0922</t>
  </si>
  <si>
    <t>1050</t>
  </si>
  <si>
    <t>Надання загальної середньої освіти загальноосвітніми школами-інтернатами для дітей-сиріт і дітей, позбавлених батьківського піклування</t>
  </si>
  <si>
    <t>1070</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</si>
  <si>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</si>
  <si>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1080</t>
  </si>
  <si>
    <t>0960</t>
  </si>
  <si>
    <t>0930</t>
  </si>
  <si>
    <t>1120</t>
  </si>
  <si>
    <t>0941</t>
  </si>
  <si>
    <t>Гранти (дарунки), що надійшли до бюджетів усіх рівнів</t>
  </si>
  <si>
    <t xml:space="preserve">Збір за забруднення навколишнього  природного середовища </t>
  </si>
  <si>
    <t>Інші збори за забруднення навколишнього природного середовища до Фонду охорони навколишнього природного середовища</t>
  </si>
  <si>
    <t>Кошти, отримані від учасника-переможця процедури закупівлі під час укладання договору про закупівлю як забезпечення виконання цього договору, які не підлягають поверненню учаснику-переможцю</t>
  </si>
  <si>
    <t>0512</t>
  </si>
  <si>
    <t>9120</t>
  </si>
  <si>
    <t xml:space="preserve">Субвенція з державного бюджету місцевим бюджетам на здійснення заходів щодо соціально-економічного розвитку окремих територій </t>
  </si>
  <si>
    <t xml:space="preserve">Плата за ліцензії на право оптової торгівлі алкогольними напоями та тютюновими виробами </t>
  </si>
  <si>
    <t>Плата за ліцензії на право роздрібної торгівлі алкогольними напоями та тютюновими виробами</t>
  </si>
  <si>
    <t>Стабілізаційна дотація</t>
  </si>
  <si>
    <t>Субвенція з державного бюджету місцевим бюджетам на часткове фінансування дитячо-юнацьких спортивних шкіл, які до 2015 року отримували підтримку з Фонду соціального страхування з тимчасової втрати працездатності</t>
  </si>
  <si>
    <t>Встановлення телефонів інвалідам І і ІІ груп</t>
  </si>
  <si>
    <t>Рентна плата за користування  надрами  для видобування корисних копалин місцевого значення</t>
  </si>
  <si>
    <t>Інші податки та збори</t>
  </si>
  <si>
    <t>Екологічний податок</t>
  </si>
  <si>
    <t>Рентна плата за спеціальне використання води (крім рентної плати за спеціальне використання води водних об"єктів місцевого значення)</t>
  </si>
  <si>
    <t>Рентна плата за спеціальне використання води для потреб гідроенергетики</t>
  </si>
  <si>
    <t>Народицький селищний бюджет</t>
  </si>
  <si>
    <t>Новоборівський селищний бюджет</t>
  </si>
  <si>
    <t>Доходи від операцій з капіталом</t>
  </si>
  <si>
    <t>Надходження від продажу основного капіталу</t>
  </si>
  <si>
    <t>Лугинський селищний бюджет</t>
  </si>
  <si>
    <t>Попільнянський селищний бюджет</t>
  </si>
  <si>
    <t>Білокоровицький сільський бюджет</t>
  </si>
  <si>
    <t>Управління освіти і науки Житомирської обласної державної адміністрації</t>
  </si>
  <si>
    <t>Утримання та навчально-тренувальна робота комунальних дитячо-юнацьких спортивних шкіл</t>
  </si>
  <si>
    <t>Зміни обсягів бюджетних коштів</t>
  </si>
  <si>
    <t>Управління агропромислового розвитку Житомирської обласної державної адміністрації</t>
  </si>
  <si>
    <t>Управління інформаційної діяльності та комунікацій з громадськістю Житомирської обласної державної адміністрації</t>
  </si>
  <si>
    <t>Додаткова дотація з державного бюджету місцевим бюджетам на забезпечення виплат, пов"язаних із підвищенням рівня оплати праці працівників бюджетної сфери, в тому числі на підвищення посадового окладу працівника першого тарифного розряду Єдиної тарифної сі</t>
  </si>
  <si>
    <t>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t>
  </si>
  <si>
    <t>Податок на доходи фізичних осіб, що сплачується податковими агентами, із доходів платника податку у вигляді заробітної плати</t>
  </si>
  <si>
    <t>Житомирська обласна рада</t>
  </si>
  <si>
    <t>Житомирська обласна державна адміністрація</t>
  </si>
  <si>
    <t>Фінансування за рахунок зміни залишків коштів бюджетів</t>
  </si>
  <si>
    <t>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t>
  </si>
  <si>
    <t>1115053</t>
  </si>
  <si>
    <t>5053</t>
  </si>
  <si>
    <t>Фінансова підтримка на утримання місцевих осередків (рад) всеукраїнських організацій фізкультурно-спортивної спрямованості</t>
  </si>
  <si>
    <t>1115061</t>
  </si>
  <si>
    <t>5061</t>
  </si>
  <si>
    <t>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t>
  </si>
  <si>
    <t>Загальний фонд</t>
  </si>
  <si>
    <t>Спеціальний фонд</t>
  </si>
  <si>
    <t>Разом</t>
  </si>
  <si>
    <t>1060</t>
  </si>
  <si>
    <t>1150</t>
  </si>
  <si>
    <t>Підвищення кваліфікації, перепідготовка кадрів іншими закладами післядипломної освіти</t>
  </si>
  <si>
    <t>2010</t>
  </si>
  <si>
    <t>Багатопрофільна стаціонарна медична допомога населенню</t>
  </si>
  <si>
    <t>2030</t>
  </si>
  <si>
    <t>0732</t>
  </si>
  <si>
    <t>2050</t>
  </si>
  <si>
    <t>Додаток 1</t>
  </si>
  <si>
    <t>Плата за ліцензії та сертифікати, що сплачується ліцензіатами за місцем здійснення діяльності</t>
  </si>
  <si>
    <t>Утримання закладів, що надають соціальні послуги дітям, які опинились у складних життєвих обставинах</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</si>
  <si>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</si>
  <si>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 xml:space="preserve">Власні надходження бюджетних установ </t>
  </si>
  <si>
    <t>Надходження від плати за послуги, що надаються бюджетними установами згідно із законодавством</t>
  </si>
  <si>
    <t>в т.ч. на:</t>
  </si>
  <si>
    <t>Малинський районний бюджет</t>
  </si>
  <si>
    <t>Призначення субвенції</t>
  </si>
  <si>
    <t>0100000</t>
  </si>
  <si>
    <t>0110000</t>
  </si>
  <si>
    <t>Разом по місцевих бюджетах</t>
  </si>
  <si>
    <t>Податкові надходження</t>
  </si>
  <si>
    <t>Податки на доходи, податки на прибуток, податки на збільшення ринкової вартості</t>
  </si>
  <si>
    <t>Податок та збір на доходи фізичних осіб</t>
  </si>
  <si>
    <t>Охорона та раціональне використання природних ресурсів</t>
  </si>
  <si>
    <t>Утилізація відходів</t>
  </si>
  <si>
    <t>Додаток 1.1</t>
  </si>
  <si>
    <t>Місцевий бюджет з якого надається субвенція</t>
  </si>
  <si>
    <t>По відповідальних виконавцях</t>
  </si>
  <si>
    <t>Субвенція з державного бюджету місцевим бюджетам на придбання ангіографічного обладнання</t>
  </si>
  <si>
    <t>Субвенція з державного бюджету місцевим бюджетам на відшкодування вартості лікарських засобів для лікування окремих захворювань</t>
  </si>
  <si>
    <t>Додаток 5.1</t>
  </si>
  <si>
    <t>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t>
  </si>
  <si>
    <t>видатки споживання</t>
  </si>
  <si>
    <t>видатки розвитку</t>
  </si>
  <si>
    <t>Кошти від відчуження майна, що належить Автономній Республіці Крим та майна, що перебуває в комунальній власності</t>
  </si>
  <si>
    <t>Субвенція на підготовку робітничих кадрів з державного бюджету місцевим бюджетам</t>
  </si>
  <si>
    <t>Квітневий сільський бюджет</t>
  </si>
  <si>
    <t>Станишівський сільський бюджет</t>
  </si>
  <si>
    <t>Ушомирський сільський бюджет</t>
  </si>
  <si>
    <t>Чижівський сільський бюджет</t>
  </si>
  <si>
    <t>Андрушківський сільський бюджет</t>
  </si>
  <si>
    <t xml:space="preserve">                                                                                                тис.грн.</t>
  </si>
  <si>
    <t xml:space="preserve">                                                                                                                                                                 </t>
  </si>
  <si>
    <t>Субвенція з державного бюджету місцевим бюджетам на надання державної підтримки особам з особливими освітніми потребами</t>
  </si>
  <si>
    <t>на реконструкцію чи капітальний ремонт житла</t>
  </si>
  <si>
    <t>на придбання житла</t>
  </si>
  <si>
    <t>Збір за першу реєстрацію транспортного засобу</t>
  </si>
  <si>
    <t>Збір за першу реєстрацію колісних транспортних засобів (юридичних осіб)</t>
  </si>
  <si>
    <t>Збір за першу реєстрацію колісних транспортних засобів (фізичних осіб)</t>
  </si>
  <si>
    <t>Рентна плата та плата за використання інших природних ресурсів</t>
  </si>
  <si>
    <t xml:space="preserve">Рентна плата за спеціальне використання лісових ресурсів </t>
  </si>
  <si>
    <t xml:space="preserve">Рентна плата за спеціальне використання лісових ресурсів в частині деревини, заготовленої в порядку рубок головного користування </t>
  </si>
  <si>
    <t>Рентна плата за спеціальне використання води</t>
  </si>
  <si>
    <t>виконання депутатських повноважень</t>
  </si>
  <si>
    <t>Департамент фінансів Житомирської обласної державної адміністрації</t>
  </si>
  <si>
    <t>Спеціалізована стаціонарна медична допомога населенню</t>
  </si>
  <si>
    <t>0731</t>
  </si>
  <si>
    <t>0733</t>
  </si>
  <si>
    <t>2060</t>
  </si>
  <si>
    <t>0734</t>
  </si>
  <si>
    <t>2090</t>
  </si>
  <si>
    <t>0761</t>
  </si>
  <si>
    <t>Медико-соціальний захист дітей-сиріт і дітей, позбавлених батьківського піклування</t>
  </si>
  <si>
    <t>2100</t>
  </si>
  <si>
    <t>0762</t>
  </si>
  <si>
    <t>Створення банків крові та її компонентів</t>
  </si>
  <si>
    <t>0724</t>
  </si>
  <si>
    <t>Надання екстреної та швидкої медичної допомоги населенню</t>
  </si>
  <si>
    <t>2130</t>
  </si>
  <si>
    <t>0722</t>
  </si>
  <si>
    <t>Спеціалізована амбулаторно-поліклінічна допомога населенню</t>
  </si>
  <si>
    <t>капітальні видатки за рахунок коштів, що передаються із загального фонду до бюджету розвитку (спеціального фонду)</t>
  </si>
  <si>
    <t>Разом по бюджетах міст</t>
  </si>
  <si>
    <t>Місцевий бюджет якому надається субвенція</t>
  </si>
  <si>
    <t>на виконання депутатських повноважень</t>
  </si>
  <si>
    <t>Субвенція з державного бюджету місцевим бюджетам на проведення виборів депутатів місцевих рад та сільських, селищних, міських голів</t>
  </si>
  <si>
    <t>Від Європейського Союзу, урядів іноземних держав, міжнародних організацій, донорських установ</t>
  </si>
  <si>
    <t>Надходження від скидів забруднюючих речовин безпосередньо у водні об"єкти</t>
  </si>
  <si>
    <t xml:space="preserve">придбання медикаментів та виробів медичного призначення для забезпечення швидкої медичної допомоги </t>
  </si>
  <si>
    <t>Субвенція з державного бюджету місцевим бюджетам на часткове відшкодування вартості лікарських засобів для лікування осіб з гіпертонічною хворобою</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</si>
  <si>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</si>
  <si>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7610</t>
  </si>
  <si>
    <t>Інші заходи, пов'язані з економічною діяльністю</t>
  </si>
  <si>
    <t>Цільові фонди</t>
  </si>
  <si>
    <t>Код</t>
  </si>
  <si>
    <t>3200</t>
  </si>
  <si>
    <t xml:space="preserve">                       Перший заступник голови ради</t>
  </si>
  <si>
    <t xml:space="preserve">Субвенція з державного бюджету місцевим бюджетам на надання пільг  з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 
</t>
  </si>
  <si>
    <t>Надання стоматологічної допомоги населенню</t>
  </si>
  <si>
    <t>0763</t>
  </si>
  <si>
    <t>Проведення належної медико-соціальної експертизи (МСЕК)</t>
  </si>
  <si>
    <t>Програма і централізовані заходи профілактики ВІЛ-інфекції/СНІДу</t>
  </si>
  <si>
    <t>0824</t>
  </si>
  <si>
    <t>3050</t>
  </si>
  <si>
    <t>Пільгове медичне обслуговування осіб, які постраждали внаслідок Чорнобильської катастрофи</t>
  </si>
  <si>
    <t>3090</t>
  </si>
  <si>
    <t>1030</t>
  </si>
  <si>
    <t>3101</t>
  </si>
  <si>
    <t>1010</t>
  </si>
  <si>
    <t>Забезпечення соціальними послугами стаціонарного догляду з наданням місця для проживання дітей з вадами фізичного та розумового розвитку</t>
  </si>
  <si>
    <t>3102</t>
  </si>
  <si>
    <t>1020</t>
  </si>
  <si>
    <t>3103</t>
  </si>
  <si>
    <t>3105</t>
  </si>
  <si>
    <t>Забезпечення обробки інформації з нарахування та виплати допомог і компенсацій</t>
  </si>
  <si>
    <t>3112</t>
  </si>
  <si>
    <t>2400000</t>
  </si>
  <si>
    <t>2410000</t>
  </si>
  <si>
    <t>Заходи державної політики з питань сім'ї</t>
  </si>
  <si>
    <t>Проведення навчально-тренувальних зборів і змагань з олімпійських видів спорту</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</si>
  <si>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</si>
  <si>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Надходження від ввезення палива на митну територію України податковими агентами</t>
  </si>
  <si>
    <t>Неподаткові надходження</t>
  </si>
  <si>
    <t>Доходи від власності та підприємницької діяльності</t>
  </si>
  <si>
    <t>Частина чистого прибутку (доходу)  комунальних унітарних підприємств та їх об"єднань, що вилучається до відповідного місцевого бюджету</t>
  </si>
  <si>
    <t>Плата за розміщення тимчасово вільних коштів місцевих бюджетів</t>
  </si>
  <si>
    <t>Авансові внески з податку на прибуток приватних підприємств</t>
  </si>
  <si>
    <t>Податки на власність</t>
  </si>
  <si>
    <t>Від органів державного управління</t>
  </si>
  <si>
    <t xml:space="preserve">Кошти, що надходять за взаємними розрахунками між місцевими бюджетами  </t>
  </si>
  <si>
    <t>Базова дотація</t>
  </si>
  <si>
    <t>Надходження бюджетних установ від додаткової (господарської) діяльності</t>
  </si>
  <si>
    <t>Державний бюджет</t>
  </si>
  <si>
    <t>Податок на доходи фізичних осіб від оподаткування пенсійних виплат або щомісячного довічного грошового утримання, що сплачується (перераховується) згідно з Податковим кодексом України</t>
  </si>
  <si>
    <t>Ліквідація іншого забруднення навколишнього природного середовища</t>
  </si>
  <si>
    <t>Цільові фонди, утворені Верховною радою Автономної Республіки Крим, органами місцевого самоврядування та місцевими органами виконавчої влади</t>
  </si>
  <si>
    <t>Плата за використання інших природних ресурсів</t>
  </si>
  <si>
    <t>Плата за спеціальне викоистання диких тварин</t>
  </si>
  <si>
    <t>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t>
  </si>
  <si>
    <t>Додаткова дотація з державного бюджету місцевим бюджетам на підвищення рівня матеріального забезпечення інвалідів І чи ІІ групи внаслідок психічного розладу</t>
  </si>
  <si>
    <t>Навчання та трудове влаштування інвалідів</t>
  </si>
  <si>
    <t>Нерозподілені трансферти</t>
  </si>
  <si>
    <t>Всього:</t>
  </si>
  <si>
    <t>Податок на прибуток підприємств та фінансових установ комунальної власності</t>
  </si>
  <si>
    <t>Податок на прибуток приватних підприємств</t>
  </si>
  <si>
    <t>Авансові внески з податку на прибуток підприємств та фінансових установ комунальної власності</t>
  </si>
  <si>
    <t>Здійснення заходів та реалізація проектів на виконання Державної цільової соціальної програми «Молодь України»</t>
  </si>
  <si>
    <t>1115051</t>
  </si>
  <si>
    <t>5051</t>
  </si>
  <si>
    <t>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t>
  </si>
  <si>
    <t>1115052</t>
  </si>
  <si>
    <t>5052</t>
  </si>
  <si>
    <t>Хорошівський районний бюджет</t>
  </si>
  <si>
    <t>Пулинський районний бюджет</t>
  </si>
  <si>
    <t>Перший заступник голови обласної ради</t>
  </si>
  <si>
    <t>С.М. Крамаренко</t>
  </si>
  <si>
    <t>Надходження від сплати збору за забруднення навколишнього природного середовища фізичними особами</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</si>
  <si>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</si>
  <si>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комунальні послуги та енергоносії</t>
  </si>
  <si>
    <t>Субвенція за рахунок залишку коштів освітньої субвенції з державного бюджету місцевим бюджетам, що утворився на початок бюджетного періоду</t>
  </si>
  <si>
    <t>Надання позашкільної освіти позашкільними закладами освіти, заходи із позашкільної роботи з дітьми</t>
  </si>
  <si>
    <t>1011120</t>
  </si>
  <si>
    <t>Надходження від орендної плати за користування цілісним майновим комплексом та іншим майном, що перебуває в комунальній власності</t>
  </si>
  <si>
    <t>Плата за надані в оренду ставки, що знаходяться в басейнах річок загальнодержавного значення</t>
  </si>
  <si>
    <t>Інші неподаткові надходження</t>
  </si>
  <si>
    <t>Інші надходження</t>
  </si>
  <si>
    <r>
      <t xml:space="preserve">Надходження для фінансового забезпечення реалізації заходів, визначених </t>
    </r>
    <r>
      <rPr>
        <b/>
        <i/>
        <sz val="12"/>
        <color indexed="12"/>
        <rFont val="Times New Roman"/>
        <family val="1"/>
        <charset val="204"/>
      </rPr>
      <t>пунктом 33 розділу VI "Прикінцеві та перехідні положення" Бюджетного кодексу України</t>
    </r>
    <r>
      <rPr>
        <b/>
        <i/>
        <sz val="12"/>
        <rFont val="Times New Roman"/>
        <family val="1"/>
        <charset val="204"/>
      </rPr>
      <t xml:space="preserve"> </t>
    </r>
  </si>
  <si>
    <t>Кошти, отримані місцевими бюджетами з державного бюджету</t>
  </si>
  <si>
    <t>Додаткова дотація з державного  бюджету місцевим бюджетам на оплату праці працівників бюджетних установ</t>
  </si>
  <si>
    <t>Лікарсько-акушерська допомога  вагітним, породіллям та новонародженим</t>
  </si>
  <si>
    <t>Видатки на поховання учасників бойових дій та інвалідів війни</t>
  </si>
  <si>
    <t>Сприяння розвитку малого та середнього підприємництва</t>
  </si>
  <si>
    <t xml:space="preserve">Розміщення бюджетних коштів на депозитах </t>
  </si>
  <si>
    <t>м.Попасна Луганської області</t>
  </si>
  <si>
    <t>м.Малин</t>
  </si>
  <si>
    <t>Освітня субвенція з державного бюджету місцевим бюджетам</t>
  </si>
  <si>
    <t>Медична субвенція з державного бюджету місцевим бюджетам</t>
  </si>
  <si>
    <t>1115033</t>
  </si>
  <si>
    <t>5033</t>
  </si>
  <si>
    <t>з них:</t>
  </si>
  <si>
    <t>Всього</t>
  </si>
  <si>
    <t>Надходження коштів від відшкодування втрат сільськогосподарського і лісогосподарського виробництва</t>
  </si>
  <si>
    <t>Надходження від орендної плати за користування цілісним майновим комплексом та іншим державним майном</t>
  </si>
  <si>
    <t>Додаткова дотація з державного бюджету місцевим бюджетам на поліпшення умов оплати праці медпрацівників, які надають медичну допомогу хворим на заразну та активну форми туберкульозу</t>
  </si>
  <si>
    <t>оплата праці</t>
  </si>
  <si>
    <t>Брусилівський районний бюджет</t>
  </si>
  <si>
    <t>Коростенський районний бюджет</t>
  </si>
  <si>
    <t>Коростишівський районний бюджет</t>
  </si>
  <si>
    <t>Лугинський районний бюджет</t>
  </si>
  <si>
    <t>Любарський районний бюджет</t>
  </si>
  <si>
    <t>Фінансування за активними операціями</t>
  </si>
  <si>
    <t>Почуйківський сільський бюджет</t>
  </si>
  <si>
    <t>Овруцький міський бюджет</t>
  </si>
  <si>
    <t>Офіційні трансферти</t>
  </si>
  <si>
    <t>Кошти, що передаються із загального фонду бюджету до бюджету розвитку (спеціального фонду)</t>
  </si>
  <si>
    <t>Дубрівський сільський бюджет</t>
  </si>
  <si>
    <t>Червоненський сільський бюджет</t>
  </si>
  <si>
    <t>Бердичівський районний бюджет</t>
  </si>
  <si>
    <t>На початок періоду</t>
  </si>
  <si>
    <t>На кінець періоду</t>
  </si>
  <si>
    <t>1000000</t>
  </si>
  <si>
    <t>1010000</t>
  </si>
  <si>
    <t>Надання загальної середньої освіти загальноосвiтнiми школами-iнтернатами, загальноосвітніми санаторними школами-інтернатами</t>
  </si>
  <si>
    <t>Рентна плата за користування надрами для видобування корисних копалин загальнодержавного значення</t>
  </si>
  <si>
    <t>з них</t>
  </si>
  <si>
    <t>бюджет розвитку</t>
  </si>
  <si>
    <t>Додаткова дотація з державного бюджету місцевим бюджетам на покращення надання соціальних послуг найуразливішим верствам населення</t>
  </si>
  <si>
    <t>Додаткова дотація з державного бюджету місцевим бюджетам на стимулювання місцевих органів влади за перевиконання річних розрахункових обсягів податку на прибуток підприємств та акцизного податку</t>
  </si>
  <si>
    <t>Субвенція з державного бюджету місцевим бюджетам на соціально-економічний розвиток</t>
  </si>
  <si>
    <t>Фінансова підтримка дитячо-юнацьких спортивних шкіл фізкультурно-спортивних товариств</t>
  </si>
  <si>
    <t>1731</t>
  </si>
  <si>
    <t>в тому числі:</t>
  </si>
  <si>
    <t>Баранівський міський бюджет</t>
  </si>
  <si>
    <t>Брусилівський селищний бюджет</t>
  </si>
  <si>
    <t>Резервний фонд</t>
  </si>
  <si>
    <t>4020</t>
  </si>
  <si>
    <t>0821</t>
  </si>
  <si>
    <t>4030</t>
  </si>
  <si>
    <t>0822</t>
  </si>
  <si>
    <t>0829</t>
  </si>
  <si>
    <t>0830</t>
  </si>
  <si>
    <t>0490</t>
  </si>
  <si>
    <t>3000000</t>
  </si>
  <si>
    <t>3010000</t>
  </si>
  <si>
    <t>Вільський сільський бюджет</t>
  </si>
  <si>
    <t>Надходження бюджетних установ від реалізації в установленому порядку майна (крім нерухомого майна)</t>
  </si>
  <si>
    <t>Субвенція з державного бюджету місцевим бюджетам на реалізацію пріоритетів розвитку регіонів</t>
  </si>
  <si>
    <t>м.Житомир</t>
  </si>
  <si>
    <t>м.Бердичів</t>
  </si>
  <si>
    <t>м.Коростень</t>
  </si>
  <si>
    <t>м.Новоград - Волинський</t>
  </si>
  <si>
    <t>Народицький</t>
  </si>
  <si>
    <t>Адміністративні збори та платежі, доходи від некомерційної господарської діяльності</t>
  </si>
  <si>
    <t>Плата за надання адміністративних послуг</t>
  </si>
  <si>
    <t>0990</t>
  </si>
  <si>
    <t>5022</t>
  </si>
  <si>
    <t>0810</t>
  </si>
  <si>
    <t>1113111</t>
  </si>
  <si>
    <t>Управління охорони здоров’я Житомирської обласної державної адміністрації</t>
  </si>
  <si>
    <t>Управління цивільного захисту населення Житомирської обласної державної адміністрації</t>
  </si>
  <si>
    <t>Заходи державної політики із забезпечення рівних прав та можливостей жінок та чоловіків</t>
  </si>
  <si>
    <t>Служба у справах дітей облдержадміністрації</t>
  </si>
  <si>
    <t>Плата за ліцензії на право експорту, імпорту алкогольними напоями та тютюновими виробами</t>
  </si>
  <si>
    <t>грн.</t>
  </si>
  <si>
    <t>Додаток  5</t>
  </si>
  <si>
    <t>Додаток 6</t>
  </si>
  <si>
    <t>Додаток  7</t>
  </si>
  <si>
    <t xml:space="preserve">Додаток  2 </t>
  </si>
  <si>
    <t>Додаток  3</t>
  </si>
  <si>
    <t>Плата за державну реєстрацію (крім реєстраційного збору за проведення державної реєстрації юридичних осіб та фізичних осіб-підприємців та громадських формувань)</t>
  </si>
  <si>
    <t>Потіївський сільський бюджет</t>
  </si>
  <si>
    <t>Заходи з організації рятування на водах</t>
  </si>
  <si>
    <t>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</si>
  <si>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Плата за послуги, що надаються бюджетними установами згідно з їх основною діяльністю</t>
  </si>
  <si>
    <t>Плата за оренду майна бюджетних установ</t>
  </si>
  <si>
    <t>придбання витратних матеріалів для закладів охорони здоров"я та лікарських засобів для інгаляційної анестезії</t>
  </si>
  <si>
    <t>Разом по районних бюджетах</t>
  </si>
  <si>
    <t>Разом по бюджетах ОТГ</t>
  </si>
  <si>
    <t>інші</t>
  </si>
  <si>
    <t>Зміни обсягів депозитів і цінних паперів, що використовуються для управління ліквідністю</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</si>
  <si>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</si>
  <si>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Підтримка спорту вищих досягнень та організацій, які здійснюють фізкультурно-спортивну діяльність в регіоні</t>
  </si>
  <si>
    <t>5062</t>
  </si>
  <si>
    <t>1115062</t>
  </si>
  <si>
    <t>Підготовка робітничих кадрів професійно-технічними закладами та іншими закладами освіти</t>
  </si>
  <si>
    <t>Інші джерела власних надходжень бюджетних установ</t>
  </si>
  <si>
    <t>Рентна плата за користування надрами</t>
  </si>
  <si>
    <t>Повернення бюджетних коштів з депозитів</t>
  </si>
  <si>
    <r>
      <t>Кошти, що надходять з інших бюджетів</t>
    </r>
    <r>
      <rPr>
        <sz val="12"/>
        <color indexed="8"/>
        <rFont val="Times New Roman"/>
        <family val="1"/>
        <charset val="204"/>
      </rPr>
      <t xml:space="preserve">  </t>
    </r>
  </si>
  <si>
    <t>Субвенція з державного бюджету місцевим бюджетам на будівництво, реконструкцію, ремонт автомобільних доріг комунальної власності</t>
  </si>
  <si>
    <t xml:space="preserve">Субвенція з державного бюджету місцевим бюджетам для сплати заборгованості за поставлене у 2012 році медичне обладнання вітчизняного виробництва </t>
  </si>
  <si>
    <t>Управління екології та природних ресурсів Житомирської обласної державної адміністрації</t>
  </si>
  <si>
    <t>1100000</t>
  </si>
  <si>
    <t>1110000</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</si>
  <si>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</si>
  <si>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</si>
  <si>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</si>
  <si>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3111</t>
  </si>
  <si>
    <t>1115021</t>
  </si>
  <si>
    <t>1113131</t>
  </si>
  <si>
    <t>3131</t>
  </si>
  <si>
    <t>1113133</t>
  </si>
  <si>
    <t>3133</t>
  </si>
  <si>
    <t>1113140</t>
  </si>
  <si>
    <t>3140</t>
  </si>
  <si>
    <t>3160</t>
  </si>
  <si>
    <t>1115011</t>
  </si>
  <si>
    <t>5011</t>
  </si>
  <si>
    <t>1115012</t>
  </si>
  <si>
    <t>5012</t>
  </si>
  <si>
    <t>5021</t>
  </si>
  <si>
    <t>1115022</t>
  </si>
  <si>
    <t>1115031</t>
  </si>
  <si>
    <t>5031</t>
  </si>
  <si>
    <t>1115032</t>
  </si>
  <si>
    <t>5032</t>
  </si>
  <si>
    <t>Попільнянський районний бюджет</t>
  </si>
  <si>
    <t>Радомишльський районний бюджет</t>
  </si>
  <si>
    <t>Іванопільський селищний бюджет Чуднівського району</t>
  </si>
  <si>
    <t xml:space="preserve">в т.ч.: </t>
  </si>
  <si>
    <t>Надходження рентної плати за спеціальне використання води від підприємств житлово-комунального господарства</t>
  </si>
  <si>
    <t>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t>
  </si>
  <si>
    <t>Носівський сільський бюджет Чуднівського району</t>
  </si>
  <si>
    <t>Жеребківський сільський бюджет Чуднівського району</t>
  </si>
  <si>
    <t>Краснопільський сільський бюджет Чуднівського району</t>
  </si>
  <si>
    <t>Маловолицький сільський бюджет Чуднівського району</t>
  </si>
  <si>
    <t>Галіївський сільський бюджет Чуднівського району</t>
  </si>
  <si>
    <t>1011140</t>
  </si>
  <si>
    <t>Плата за ліцензії на певні види господарської діяльності та сертифікати, що видаються Радою міністрів Автономної Республіки Крим, виконавчими органами місцевих рад і місцевими органами виконавчої влади</t>
  </si>
  <si>
    <t>Проведення навчально-тренувальних зборів і змагань з неолімпійських видів спорту</t>
  </si>
  <si>
    <t xml:space="preserve"> </t>
  </si>
  <si>
    <t>до рішення обласної ради</t>
  </si>
  <si>
    <t>Внутрішнє фінансування</t>
  </si>
  <si>
    <t>0320</t>
  </si>
  <si>
    <t>0456</t>
  </si>
  <si>
    <t>0421</t>
  </si>
  <si>
    <t>7340</t>
  </si>
  <si>
    <t>9130</t>
  </si>
  <si>
    <t>0513</t>
  </si>
  <si>
    <t>0540</t>
  </si>
  <si>
    <t>7450</t>
  </si>
  <si>
    <t>0411</t>
  </si>
  <si>
    <t>1</t>
  </si>
  <si>
    <t>2</t>
  </si>
  <si>
    <t>3</t>
  </si>
  <si>
    <t>Городницький селищний бюджет Новоград-Волинського району</t>
  </si>
  <si>
    <t>Довбиський селищний бюджет</t>
  </si>
  <si>
    <t>Черняхівський селищний бюджет Черняхівського району</t>
  </si>
  <si>
    <t>0110150</t>
  </si>
  <si>
    <t>0150</t>
  </si>
  <si>
    <t>Інші заходи у сфері соціального захисту і соціального забезпечення</t>
  </si>
  <si>
    <t>0113242</t>
  </si>
  <si>
    <t>7670</t>
  </si>
  <si>
    <t>0117670</t>
  </si>
  <si>
    <t>Внески до статутного капіталу суб"єктів господарювання</t>
  </si>
  <si>
    <t>0118311</t>
  </si>
  <si>
    <t>8311</t>
  </si>
  <si>
    <t>Запобігання та ліквідація забруднення навколишнього природного середовища</t>
  </si>
  <si>
    <t>0119800</t>
  </si>
  <si>
    <t>9800</t>
  </si>
  <si>
    <t>Субвенція з місцевого бюджету державному бюджету на виконання програм соціально-економічного розвитку регіонів</t>
  </si>
  <si>
    <t>0110180</t>
  </si>
  <si>
    <t>Інша діяльність у сфері державного управління</t>
  </si>
  <si>
    <t>0119770</t>
  </si>
  <si>
    <t>9770</t>
  </si>
  <si>
    <t>Інші субвенції з місцевого бюджету</t>
  </si>
  <si>
    <t xml:space="preserve">Підвищення кваліфікації, перепідготовка кадрів закладами післядипломної освіти </t>
  </si>
  <si>
    <t>0200000</t>
  </si>
  <si>
    <t>0210000</t>
  </si>
  <si>
    <t>0211140</t>
  </si>
  <si>
    <t>0210180</t>
  </si>
  <si>
    <t>0219800</t>
  </si>
  <si>
    <t>0600000</t>
  </si>
  <si>
    <t>0610000</t>
  </si>
  <si>
    <t>0611040</t>
  </si>
  <si>
    <t>0611050</t>
  </si>
  <si>
    <t>0611070</t>
  </si>
  <si>
    <t>0611080</t>
  </si>
  <si>
    <t>0611090</t>
  </si>
  <si>
    <t>0611120</t>
  </si>
  <si>
    <t>0611140</t>
  </si>
  <si>
    <t>0615031</t>
  </si>
  <si>
    <t>0611110</t>
  </si>
  <si>
    <t>1110</t>
  </si>
  <si>
    <t xml:space="preserve">Підготовка кадрів вищими навчальними закладами І-ІІ рівнів акредитації (коледжами, технікумами, училищами) </t>
  </si>
  <si>
    <t>0611150</t>
  </si>
  <si>
    <t xml:space="preserve">Методичне забезпечення діяльності навчальних закладів </t>
  </si>
  <si>
    <t>0611161</t>
  </si>
  <si>
    <t>1161</t>
  </si>
  <si>
    <t>Забезпечення діяльності інших закладів у сфері освіти</t>
  </si>
  <si>
    <t>0611162</t>
  </si>
  <si>
    <t>1162</t>
  </si>
  <si>
    <t>Інші програми та заходи у сфері освіти</t>
  </si>
  <si>
    <t>0619320</t>
  </si>
  <si>
    <t>9320</t>
  </si>
  <si>
    <t>Субвенція з місцевого бюджету за рахунок залишку коштів освітньої субвенції, що утворився на початок бюджетного періоду</t>
  </si>
  <si>
    <t>0619330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</si>
  <si>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</si>
  <si>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0700000</t>
  </si>
  <si>
    <t>0710000</t>
  </si>
  <si>
    <t>0711120</t>
  </si>
  <si>
    <t>0712010</t>
  </si>
  <si>
    <t>0712030</t>
  </si>
  <si>
    <t>0712050</t>
  </si>
  <si>
    <t>0712060</t>
  </si>
  <si>
    <t>0712090</t>
  </si>
  <si>
    <t>0712100</t>
  </si>
  <si>
    <t>0712130</t>
  </si>
  <si>
    <t>0711140</t>
  </si>
  <si>
    <t>0712020</t>
  </si>
  <si>
    <t>2020</t>
  </si>
  <si>
    <t>0712070</t>
  </si>
  <si>
    <t>2070</t>
  </si>
  <si>
    <t>Стоматологічна допомога населенню</t>
  </si>
  <si>
    <t>0712151</t>
  </si>
  <si>
    <t>2151</t>
  </si>
  <si>
    <t>Забезпечення діяльності інших закладів у сфері охорони здоров’я</t>
  </si>
  <si>
    <t>0712143</t>
  </si>
  <si>
    <t>2143</t>
  </si>
  <si>
    <t>0712144</t>
  </si>
  <si>
    <t>2144</t>
  </si>
  <si>
    <t>Централізовані заходи з лікування хворих на цукровий та нецукровий діабет</t>
  </si>
  <si>
    <t>0712152</t>
  </si>
  <si>
    <t>2152</t>
  </si>
  <si>
    <t>Інші програми та заходи у сфері охорони здоров’я</t>
  </si>
  <si>
    <t>0714030</t>
  </si>
  <si>
    <t>Забезпечення діяльності бібліотек</t>
  </si>
  <si>
    <t>0719410</t>
  </si>
  <si>
    <t>9410</t>
  </si>
  <si>
    <t>Субвенція з місцевого бюджету на здійснення переданих видатків у сфері охорони здоров’я за рахунок коштів медичної субвенції</t>
  </si>
  <si>
    <t>0719420</t>
  </si>
  <si>
    <t>9420</t>
  </si>
  <si>
    <t>Субвенція з місцевого бюджету за рахунок залишку коштів медичної субвенції, що утворився на початок бюджетного періоду</t>
  </si>
  <si>
    <t>0719460</t>
  </si>
  <si>
    <t>9460</t>
  </si>
  <si>
    <t>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</si>
  <si>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0719770</t>
  </si>
  <si>
    <t xml:space="preserve">Інші субвенції з місцевого бюджету </t>
  </si>
  <si>
    <t>0712040</t>
  </si>
  <si>
    <t>2040</t>
  </si>
  <si>
    <t>Санаторно-курортна допомога населенню</t>
  </si>
  <si>
    <t>0800000</t>
  </si>
  <si>
    <t>0810000</t>
  </si>
  <si>
    <t>0813050</t>
  </si>
  <si>
    <t>0813090</t>
  </si>
  <si>
    <t>0813101</t>
  </si>
  <si>
    <t>0813102</t>
  </si>
  <si>
    <t>0813103</t>
  </si>
  <si>
    <t>0813105</t>
  </si>
  <si>
    <t xml:space="preserve">Надання реабілітаційних послуг особам з інвалідністю та дітям з інвалідністю </t>
  </si>
  <si>
    <t>0813160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</si>
  <si>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</si>
  <si>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</si>
  <si>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</si>
  <si>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</si>
  <si>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0813172</t>
  </si>
  <si>
    <t>3172</t>
  </si>
  <si>
    <t>0813200</t>
  </si>
  <si>
    <t>0813242</t>
  </si>
  <si>
    <t>0813241</t>
  </si>
  <si>
    <t>3241</t>
  </si>
  <si>
    <t>Забезпечення діяльності інших закладів у сфері соціального захисту і соціального забезпечення</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</si>
  <si>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</si>
  <si>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</si>
  <si>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</si>
  <si>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0819800</t>
  </si>
  <si>
    <t xml:space="preserve">Субвенція з місцевого бюджету державному бюджету на виконання програм соціально-економічного розвитку регіонів </t>
  </si>
  <si>
    <t>0900000</t>
  </si>
  <si>
    <t>0910000</t>
  </si>
  <si>
    <t>0913111</t>
  </si>
  <si>
    <t>0913112</t>
  </si>
  <si>
    <t>0913131</t>
  </si>
  <si>
    <t>0919770</t>
  </si>
  <si>
    <t>1014020</t>
  </si>
  <si>
    <t>1014030</t>
  </si>
  <si>
    <t>1014010</t>
  </si>
  <si>
    <t>4010</t>
  </si>
  <si>
    <t>Фінансова підтримка театрів</t>
  </si>
  <si>
    <t>Фінансова підтримка фiлармонiй, художніх і музичних колективів, ансамблів, концертних та циркових організацій</t>
  </si>
  <si>
    <t>1014040</t>
  </si>
  <si>
    <t>4040</t>
  </si>
  <si>
    <t>Забезпечення діяльності музеїв i виставок</t>
  </si>
  <si>
    <t>1017424</t>
  </si>
  <si>
    <t>7424</t>
  </si>
  <si>
    <t>0443</t>
  </si>
  <si>
    <r>
      <t>Будівництво</t>
    </r>
    <r>
      <rPr>
        <i/>
        <vertAlign val="superscript"/>
        <sz val="12"/>
        <rFont val="Times New Roman"/>
        <family val="1"/>
        <charset val="204"/>
      </rPr>
      <t>1</t>
    </r>
    <r>
      <rPr>
        <i/>
        <sz val="12"/>
        <rFont val="Times New Roman"/>
        <family val="1"/>
        <charset val="204"/>
      </rPr>
      <t xml:space="preserve"> установ та закладів культури</t>
    </r>
  </si>
  <si>
    <t>1017340</t>
  </si>
  <si>
    <t>Проектування, реставрація та охорона пам'яток архітектури</t>
  </si>
  <si>
    <t>1018410</t>
  </si>
  <si>
    <t>8410</t>
  </si>
  <si>
    <t>Фінансова підтримка засобів масової інформації</t>
  </si>
  <si>
    <t>1113121</t>
  </si>
  <si>
    <t>3121</t>
  </si>
  <si>
    <t>Утримання та забезпечення діяльності центрів соціальних служб для сім’ї, дітей та молоді</t>
  </si>
  <si>
    <t>1113122</t>
  </si>
  <si>
    <t>3122</t>
  </si>
  <si>
    <t>1113123</t>
  </si>
  <si>
    <t>3123</t>
  </si>
  <si>
    <t>1113241</t>
  </si>
  <si>
    <t>1113242</t>
  </si>
  <si>
    <t>Забезпечення підготовки спортсменів школами вищої спортивної майстерності</t>
  </si>
  <si>
    <t>1118821</t>
  </si>
  <si>
    <t>8821</t>
  </si>
  <si>
    <t>Надання кредиту</t>
  </si>
  <si>
    <t>6084</t>
  </si>
  <si>
    <t>1116084</t>
  </si>
  <si>
    <t>0610</t>
  </si>
  <si>
    <t>1600000</t>
  </si>
  <si>
    <t>1610000</t>
  </si>
  <si>
    <t>1611070</t>
  </si>
  <si>
    <t>1611120</t>
  </si>
  <si>
    <t>1611140</t>
  </si>
  <si>
    <t>1612010</t>
  </si>
  <si>
    <t>1612030</t>
  </si>
  <si>
    <t>1613101</t>
  </si>
  <si>
    <t>1613102</t>
  </si>
  <si>
    <t>1613103</t>
  </si>
  <si>
    <t>1613111</t>
  </si>
  <si>
    <t>1615031</t>
  </si>
  <si>
    <t>1612020</t>
  </si>
  <si>
    <t>1612040</t>
  </si>
  <si>
    <t>1612100</t>
  </si>
  <si>
    <t>Лікарсько-акушерська допомога вагітним, породіллям та новонародженим</t>
  </si>
  <si>
    <t>1614030</t>
  </si>
  <si>
    <t>1614040</t>
  </si>
  <si>
    <t>1617321</t>
  </si>
  <si>
    <t>7321</t>
  </si>
  <si>
    <r>
      <t>Будівництво</t>
    </r>
    <r>
      <rPr>
        <i/>
        <vertAlign val="superscript"/>
        <sz val="8"/>
        <rFont val="Times New Roman"/>
        <family val="1"/>
        <charset val="204"/>
      </rPr>
      <t>1</t>
    </r>
    <r>
      <rPr>
        <i/>
        <sz val="8"/>
        <rFont val="Times New Roman"/>
        <family val="1"/>
        <charset val="204"/>
      </rPr>
      <t xml:space="preserve"> </t>
    </r>
    <r>
      <rPr>
        <i/>
        <sz val="14"/>
        <rFont val="Times New Roman"/>
        <family val="1"/>
        <charset val="204"/>
      </rPr>
      <t>освітніх установ та закладів</t>
    </r>
  </si>
  <si>
    <t>1617322</t>
  </si>
  <si>
    <t>7322</t>
  </si>
  <si>
    <r>
      <t>Будівництво</t>
    </r>
    <r>
      <rPr>
        <i/>
        <vertAlign val="superscript"/>
        <sz val="12"/>
        <rFont val="Times New Roman"/>
        <family val="1"/>
        <charset val="204"/>
      </rPr>
      <t>1</t>
    </r>
    <r>
      <rPr>
        <i/>
        <sz val="12"/>
        <rFont val="Times New Roman"/>
        <family val="1"/>
        <charset val="204"/>
      </rPr>
      <t xml:space="preserve"> медичних установ та закладів</t>
    </r>
  </si>
  <si>
    <t>1617340</t>
  </si>
  <si>
    <t>1618311</t>
  </si>
  <si>
    <t>1618120</t>
  </si>
  <si>
    <t>8120</t>
  </si>
  <si>
    <t>1618312</t>
  </si>
  <si>
    <t>8312</t>
  </si>
  <si>
    <t xml:space="preserve">Інша діяльність у сфері екології та охорони природних ресурсів </t>
  </si>
  <si>
    <t>2300000</t>
  </si>
  <si>
    <t>2310000</t>
  </si>
  <si>
    <t>2313192</t>
  </si>
  <si>
    <t>3192</t>
  </si>
  <si>
    <t>2417110</t>
  </si>
  <si>
    <t>7110</t>
  </si>
  <si>
    <t xml:space="preserve">Реалізація програм в галузі сільського господарства </t>
  </si>
  <si>
    <t>2417120</t>
  </si>
  <si>
    <t>7120</t>
  </si>
  <si>
    <t>Забезпечення діяльності ветеринарних лікарень та ветеринарних лабораторій</t>
  </si>
  <si>
    <t>2700000</t>
  </si>
  <si>
    <t>2710000</t>
  </si>
  <si>
    <t>2717610</t>
  </si>
  <si>
    <t>2717693</t>
  </si>
  <si>
    <t>7693</t>
  </si>
  <si>
    <t>Управління культури та туризму Житомирської обласної державної адміністрації</t>
  </si>
  <si>
    <t>2800000</t>
  </si>
  <si>
    <t>2810000</t>
  </si>
  <si>
    <t>2818311</t>
  </si>
  <si>
    <t>2818312</t>
  </si>
  <si>
    <t>2818313</t>
  </si>
  <si>
    <t>8313</t>
  </si>
  <si>
    <t>3018110</t>
  </si>
  <si>
    <t>8110</t>
  </si>
  <si>
    <t>7440</t>
  </si>
  <si>
    <t>Утримання та розвиток транспортної інфраструктури</t>
  </si>
  <si>
    <t xml:space="preserve">Інша діяльність у сфері транспорту </t>
  </si>
  <si>
    <t>3710000</t>
  </si>
  <si>
    <t>3700000</t>
  </si>
  <si>
    <t>3718700</t>
  </si>
  <si>
    <t>8700</t>
  </si>
  <si>
    <t>3719120</t>
  </si>
  <si>
    <t xml:space="preserve">Дотація з місцевого бюджету за рахунок стабілізаційної дотації з державного бюджету </t>
  </si>
  <si>
    <t>3719230</t>
  </si>
  <si>
    <t>9230</t>
  </si>
  <si>
    <t xml:space="preserve">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</si>
  <si>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3719220</t>
  </si>
  <si>
    <t>9220</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</si>
  <si>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</si>
  <si>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3719210</t>
  </si>
  <si>
    <t>9210</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</si>
  <si>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</si>
  <si>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3719800</t>
  </si>
  <si>
    <t>3719540</t>
  </si>
  <si>
    <t>9540</t>
  </si>
  <si>
    <t>Субвенція з місцевого бюджету на здійснення заходів щодо соціально-економічного розвитку окремих територій за рахунок відповідної субвенції з державного бюджету</t>
  </si>
  <si>
    <t>9250</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</si>
  <si>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</si>
  <si>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3719250</t>
  </si>
  <si>
    <t>9620</t>
  </si>
  <si>
    <t>3719620</t>
  </si>
  <si>
    <t>Субвенція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</si>
  <si>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9241</t>
  </si>
  <si>
    <t>3719241</t>
  </si>
  <si>
    <t xml:space="preserve">Субвенція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</si>
  <si>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3719320</t>
  </si>
  <si>
    <t>3719770</t>
  </si>
  <si>
    <t>Субвенція з місцевого бюджету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відповідної субвенції з державного бюджету</t>
  </si>
  <si>
    <t>Субвенція з державного бюджету місцевим бюджетам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I групи, а також за особою, яка досягла 80-річного віку</t>
  </si>
  <si>
    <t>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</si>
  <si>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 xml:space="preserve">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 </t>
  </si>
  <si>
    <t>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t>
  </si>
  <si>
    <t>0711130</t>
  </si>
  <si>
    <t>1130</t>
  </si>
  <si>
    <t>0942</t>
  </si>
  <si>
    <t>Підготовка кадрів вищими навчальними закладами ІІІ-ІV рівнів акредитації (університетами, академіями, інститутами)</t>
  </si>
  <si>
    <t>1014081</t>
  </si>
  <si>
    <t>4081</t>
  </si>
  <si>
    <t xml:space="preserve">Забезпечення діяльності інших закладів в галузі культури і мистецтва </t>
  </si>
  <si>
    <t>Субвенція з державного бюджету місцевим бюджетам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</si>
  <si>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Пулинський селищний бюджет</t>
  </si>
  <si>
    <t>Брониківський сільський бюджет</t>
  </si>
  <si>
    <t>Оліївський сільський бюджет</t>
  </si>
  <si>
    <t>06201100000</t>
  </si>
  <si>
    <t>06202100000</t>
  </si>
  <si>
    <t>06203100000</t>
  </si>
  <si>
    <t>06204100000</t>
  </si>
  <si>
    <t>06205100000</t>
  </si>
  <si>
    <t>06301200000</t>
  </si>
  <si>
    <t>06302200000</t>
  </si>
  <si>
    <t>06303200000</t>
  </si>
  <si>
    <t>06304200000</t>
  </si>
  <si>
    <t>06305200000</t>
  </si>
  <si>
    <t>06306200000</t>
  </si>
  <si>
    <t>06307200000</t>
  </si>
  <si>
    <t>06308200000</t>
  </si>
  <si>
    <t>06309200000</t>
  </si>
  <si>
    <t>06310200000</t>
  </si>
  <si>
    <t>06311200000</t>
  </si>
  <si>
    <t>06312200000</t>
  </si>
  <si>
    <t>06313200000</t>
  </si>
  <si>
    <t>06314200000</t>
  </si>
  <si>
    <t>06315200000</t>
  </si>
  <si>
    <t>06316200000</t>
  </si>
  <si>
    <t>06317200000</t>
  </si>
  <si>
    <t>06318200000</t>
  </si>
  <si>
    <t>06319200000</t>
  </si>
  <si>
    <t>06320200000</t>
  </si>
  <si>
    <t>06321200000</t>
  </si>
  <si>
    <t>06322200000</t>
  </si>
  <si>
    <t>06323200000</t>
  </si>
  <si>
    <t>06501000000</t>
  </si>
  <si>
    <t>06502000000</t>
  </si>
  <si>
    <t>06503000000</t>
  </si>
  <si>
    <t>06504000000</t>
  </si>
  <si>
    <t>06505000000</t>
  </si>
  <si>
    <t>06506000000</t>
  </si>
  <si>
    <t>06507000000</t>
  </si>
  <si>
    <t>06508000000</t>
  </si>
  <si>
    <t>06509000000</t>
  </si>
  <si>
    <t>06510000000</t>
  </si>
  <si>
    <t>06511000000</t>
  </si>
  <si>
    <t>06512000000</t>
  </si>
  <si>
    <t>06513000000</t>
  </si>
  <si>
    <t>06514000000</t>
  </si>
  <si>
    <t>06515000000</t>
  </si>
  <si>
    <t>06516000000</t>
  </si>
  <si>
    <t>06517000000</t>
  </si>
  <si>
    <t>06518000000</t>
  </si>
  <si>
    <t>06519000000</t>
  </si>
  <si>
    <t>06520000000</t>
  </si>
  <si>
    <t>06521000000</t>
  </si>
  <si>
    <t>06522000000</t>
  </si>
  <si>
    <t>06523000000</t>
  </si>
  <si>
    <t>06524000000</t>
  </si>
  <si>
    <t>06525000000</t>
  </si>
  <si>
    <t>06526000000</t>
  </si>
  <si>
    <t>06527000000</t>
  </si>
  <si>
    <t>06528000000</t>
  </si>
  <si>
    <t>06529000000</t>
  </si>
  <si>
    <t>06530000000</t>
  </si>
  <si>
    <t>06531000000</t>
  </si>
  <si>
    <t>06532000000</t>
  </si>
  <si>
    <t>06533000000</t>
  </si>
  <si>
    <t>06534000000</t>
  </si>
  <si>
    <t>06535000000</t>
  </si>
  <si>
    <t>06536000000</t>
  </si>
  <si>
    <t>06537000000</t>
  </si>
  <si>
    <t>06538000000</t>
  </si>
  <si>
    <t>06539000000</t>
  </si>
  <si>
    <t>06540000000</t>
  </si>
  <si>
    <t>06541000000</t>
  </si>
  <si>
    <t>06542000000</t>
  </si>
  <si>
    <t>06543000000</t>
  </si>
  <si>
    <t>06544000000</t>
  </si>
  <si>
    <t>06545000000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</si>
  <si>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</si>
  <si>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в тому числі на:</t>
  </si>
  <si>
    <t>3719130</t>
  </si>
  <si>
    <t>0116020</t>
  </si>
  <si>
    <t>6020</t>
  </si>
  <si>
    <t>0620</t>
  </si>
  <si>
    <t>Забезпечення функціонування підприємств, установ та організацій, що виробляють, виконують та/або надають житлово-комунальні послуги</t>
  </si>
  <si>
    <t>0619770</t>
  </si>
  <si>
    <t>0819770</t>
  </si>
  <si>
    <t>0919270</t>
  </si>
  <si>
    <t>9270</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</si>
  <si>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</si>
  <si>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1014082</t>
  </si>
  <si>
    <t>4082</t>
  </si>
  <si>
    <t>1018420</t>
  </si>
  <si>
    <t>8420</t>
  </si>
  <si>
    <t>Інші заходи у сфері засобів масової інформації</t>
  </si>
  <si>
    <t>1017622</t>
  </si>
  <si>
    <t>7622</t>
  </si>
  <si>
    <t>Реалізація програм і заходів в галузі туризму та курортів</t>
  </si>
  <si>
    <t>0470</t>
  </si>
  <si>
    <t>Інші заходи та заклади молодіжної політики</t>
  </si>
  <si>
    <t>1617310</t>
  </si>
  <si>
    <t>7310</t>
  </si>
  <si>
    <r>
      <t>Будівництво</t>
    </r>
    <r>
      <rPr>
        <vertAlign val="superscript"/>
        <sz val="12"/>
        <rFont val="Times New Roman"/>
        <family val="1"/>
        <charset val="204"/>
      </rPr>
      <t>1</t>
    </r>
    <r>
      <rPr>
        <sz val="12"/>
        <rFont val="Times New Roman"/>
        <family val="1"/>
        <charset val="204"/>
      </rPr>
      <t xml:space="preserve"> об'єктів житлово-комунального господарства</t>
    </r>
  </si>
  <si>
    <t>1617325</t>
  </si>
  <si>
    <t>7325</t>
  </si>
  <si>
    <t>1617370</t>
  </si>
  <si>
    <t>7370</t>
  </si>
  <si>
    <t>Реалізація інших заходів щодо соціально-економічного розвитку територій</t>
  </si>
  <si>
    <t>1617640</t>
  </si>
  <si>
    <t>7640</t>
  </si>
  <si>
    <t>Заходи з енергозбереження</t>
  </si>
  <si>
    <t>2310180</t>
  </si>
  <si>
    <t>2717350</t>
  </si>
  <si>
    <t>7350</t>
  </si>
  <si>
    <t>Розроблення схем планування та забудови територій (містобудівної документації)</t>
  </si>
  <si>
    <t>3018120</t>
  </si>
  <si>
    <t>Утримання та розвиток автомобільних доріг та дорожньої інфраструктури за рахунок коштів місцевого бюджету</t>
  </si>
  <si>
    <t>0619310</t>
  </si>
  <si>
    <t>9310</t>
  </si>
  <si>
    <t xml:space="preserve">Субвенція з місцевого бюджету на здійснення переданих видатків у сфері освіти за рахунок коштів освітньої субвенції </t>
  </si>
  <si>
    <t>3719750</t>
  </si>
  <si>
    <t>9750</t>
  </si>
  <si>
    <t>Субвенція з місцевого бюджету на співфінансування інвестиційних проектів</t>
  </si>
  <si>
    <t>2818330</t>
  </si>
  <si>
    <t>8330</t>
  </si>
  <si>
    <t>Утримання та розвиток автомобільних доріг та дорожньої інфраструктури за рахунок субвенції з  державного бюджету</t>
  </si>
  <si>
    <t>Інші заходи в галузі культури і мистецтва</t>
  </si>
  <si>
    <t xml:space="preserve">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</si>
  <si>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Словечанський сільський бюджет</t>
  </si>
  <si>
    <t>на пільгове медичне обслуговування осіб, які постраждали внаслідок Чорнобильської катастрофи</t>
  </si>
  <si>
    <t>на виконання Регіональної (комплексної) цільової соціальної Програми забезпечення житлом дітей-сиріт, дітей, позбавлених батьківського піклування, та осіб з їх числа на 2018-2022 роки</t>
  </si>
  <si>
    <t>пільгове медичне обслуговування осіб, які постраждали внаслідок Чорнобильської катастрофи</t>
  </si>
  <si>
    <t>2313242</t>
  </si>
  <si>
    <t>3242</t>
  </si>
  <si>
    <t>7324</t>
  </si>
  <si>
    <t>1017324</t>
  </si>
  <si>
    <t>Підготовка кадрів професійно-технічними закладами та іншими закладами освіти</t>
  </si>
  <si>
    <t>Екстрена та швидка медична допомога населенню</t>
  </si>
  <si>
    <t>Видатки на поховання учасників бойових дій та осіб з інвалідністю внаслідок війни</t>
  </si>
  <si>
    <t>Забезпечення соціальними послугами стаціонарного догляду з наданням місця для проживання, всебічної підтримки, захисту та безпеки осіб, які не можуть вести самостійний спосіб життя через похилий вік, фізичні та розумові вади, психічні захворювання або інші хвороби</t>
  </si>
  <si>
    <t>Навчання та трудове влаштування осіб з інвалідністю</t>
  </si>
  <si>
    <t>Встановлення телефонів особам з інвалідністю I і II груп</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</si>
  <si>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</si>
  <si>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Надання фінансової підтримки громадським організаціям осіб з інвалідністю і ветеранів, діяльність яких має соціальну спрямованість</t>
  </si>
  <si>
    <t>Заходи із запобігання та ліквідації надзвичайних ситуацій та наслідків стихійного лиха</t>
  </si>
  <si>
    <t xml:space="preserve">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  </t>
  </si>
  <si>
    <t>Будівництво об'єктів житлово-комунального господарства</t>
  </si>
  <si>
    <t>Будівництво споруд, установ та закладів фізичної культури і спорту</t>
  </si>
  <si>
    <t>Аерація стадіону спортивно-оздоровчої бази с.Березино</t>
  </si>
  <si>
    <t>Програма підтримки та розвитку об"єктів спільної власності територіальних громад області на 2017-2018 роки, рішення обласної ради від 23.02.2017 №530</t>
  </si>
  <si>
    <t>Комплексна Програма оздоровлення та відпочинку дітей на 2016-2020 роки, рішення обласної ради від 26.01.2016 №110, зі змінами</t>
  </si>
  <si>
    <t>Обласна комплексна Програма розвитку фізичної культури і спорту на 2017-2020 роки, рішення обласної ради від 22.12.2016 №418, зі змінами</t>
  </si>
  <si>
    <t>Регіональна цільова соціальна програма протидії ВІЛ-інфекції СНІДУ за 2015-2018 роки, рішення обласної ради від 28.05.15 №1546</t>
  </si>
  <si>
    <t>Обласна комплексна програма соціального захисту осіб з інвалідністю, ветеранів війни та праці, пенсіонерів та незахищених верств населення Житомирської області на 2018-2022 роки</t>
  </si>
  <si>
    <t>Програма соціального захисту громадян, які постраждали внаслідок Чорнобильської катастрофи, на 2017-2021 роки</t>
  </si>
  <si>
    <t>Регіональна  (комплексна) цільова соціальна Програма забезпечення житлом дітей-сиріт, дітей, позбавлених батьківського піклування, та осіб з їх числа на 2018-2022 роки, рішення обласної ради від 02.11.2017 №776</t>
  </si>
  <si>
    <t>Обласна Програма сприяння культурно-мистецькому розвитку області на 2015-2020 роки</t>
  </si>
  <si>
    <t>Обласна програма охорони та збереження культурної спадщини на 2017-2018 роки, рішення обласної ради від 22.12.2016 № 406</t>
  </si>
  <si>
    <t>Обласна комплексна програма „Молодь і родина Житомирщини” на 2017-2020 роки</t>
  </si>
  <si>
    <t>Програма забезпечення діяльності Центру допомоги учасникам АТО на 2016-2018 роки, рішення обласної ради від 31.03.2016 №206</t>
  </si>
  <si>
    <t>8831</t>
  </si>
  <si>
    <t>Утримання центрів фізичної культури і спорту осіб з інвалідністю і реабілітаційних шкіл</t>
  </si>
  <si>
    <t>Проведення навчально-тренувальних зборів і змагань та заходів зі спорту осіб з інвалідністю</t>
  </si>
  <si>
    <t>Будівництво установ та закладів культури</t>
  </si>
  <si>
    <t>Реконструкція з розширенням музею космонавтики ім. С.П.Корольова по вул.Дмитрівській, 2 в м. Житомирі</t>
  </si>
  <si>
    <t>1900000</t>
  </si>
  <si>
    <t>1910000</t>
  </si>
  <si>
    <t>1917440</t>
  </si>
  <si>
    <t>1917450</t>
  </si>
  <si>
    <t>Управління дорожнього будівництва та інфраструктури Житомирської обласної державної адміністрації</t>
  </si>
  <si>
    <t>1617361</t>
  </si>
  <si>
    <t>7361</t>
  </si>
  <si>
    <t>Співфінансування інвестиційних проектів, що реалізуються за рахунок коштів державного фонду регіонального розвитку</t>
  </si>
  <si>
    <t>2717370</t>
  </si>
  <si>
    <t>Програма економічного і соціального розвитку Житомирської області на 2018 рік, рішення обласної ради від 21.12.2017 № 868</t>
  </si>
  <si>
    <t>Обласна комплексна програма охорони навколишнього природного середовища в Житомирській області на 2018-2022 роки, рішення обласної ради від 21.12.2017 № 880</t>
  </si>
  <si>
    <t>Програма економічного і соціального розвитку Житомирської області на 2018 рік, рішення обласної ради від  № 868</t>
  </si>
  <si>
    <t>на реалізацію заходів Програми підтримки органів місцевого самоврядування та сприяння реалізації ініційованих ними проектів, спрямованих на соціально-економічний розвиток Житомирської області, на 2018-2020 роки</t>
  </si>
  <si>
    <t>1117700</t>
  </si>
  <si>
    <t>7700</t>
  </si>
  <si>
    <t>Реалізація програм допомоги і грантів Європейського Союзу, урядів іноземних держав, міжнародних організацій, донорських установ</t>
  </si>
  <si>
    <t>Про зарахування коштів до обласного бюджету, рішення обласної ради від 24.12.2015 № 37</t>
  </si>
  <si>
    <t xml:space="preserve">Семенівський сільський бюджет </t>
  </si>
  <si>
    <t>на співфінансування проекту "Створення комфортних умов для розвитку дітей в ДНЗ "Калинка" Червоненської селищної ради</t>
  </si>
  <si>
    <t>на фінансування проекту "Реконструкція Червоненської ЗОШ І-ІІІ ст. із застосуванням енергозберігаючих технологій"</t>
  </si>
  <si>
    <t>на співфінансування проекту "Будівництво комунальної сонячної електростанції Червоненської селищної ради ОТГ за адресою: Житомирська область, Андрушівський район, смт Червоне"</t>
  </si>
  <si>
    <t xml:space="preserve">Червоненський селищний бюджет </t>
  </si>
  <si>
    <t>Гришковецький селищний бюджет Бердичівського району</t>
  </si>
  <si>
    <t>реконструкція мереж водопостачання м.Малина Житомирської області (співфінансування)</t>
  </si>
  <si>
    <t>0813192</t>
  </si>
  <si>
    <t>Обласна комплексна програма соціального захисту осіб з інвалідністю, ветеранів війни та праці, пенсіонерів учасників і ветеранів визвольних змагань (ОУН-УПА) та незахищених верств населення на 2018-2022 роки</t>
  </si>
  <si>
    <t>1614081</t>
  </si>
  <si>
    <t>Забезпечення діяльності інших закладів в галузі культури і мистецтва</t>
  </si>
  <si>
    <t>1614082</t>
  </si>
  <si>
    <t>Інші заклади в галузі культури і мистецтва</t>
  </si>
  <si>
    <t>1117370</t>
  </si>
  <si>
    <t>1617330</t>
  </si>
  <si>
    <t>7330</t>
  </si>
  <si>
    <t>1617367</t>
  </si>
  <si>
    <t>7367</t>
  </si>
  <si>
    <t xml:space="preserve">Виконання інвестиційних проектів в рамках реалізації заходів, спрямованих на розвиток системи охорони здоров'я у сільській місцевості
</t>
  </si>
  <si>
    <t>1615033</t>
  </si>
  <si>
    <t xml:space="preserve">Забезпечення підготовки спортсменів школами вищої спортивної майстерності </t>
  </si>
  <si>
    <t>1612050</t>
  </si>
  <si>
    <t>1919540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</si>
  <si>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за рахунок відповідної субвенції з державного бюджету</t>
  </si>
  <si>
    <t xml:space="preserve">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t>
  </si>
  <si>
    <t>в тому числі  на :</t>
  </si>
  <si>
    <t>Програма сприяння та публічності розвитку казначейського обслуговування області на 2016-2018 роки, "Доступне казначейство", рішення обласної ради від 22.12.2016 № 421</t>
  </si>
  <si>
    <t>Обласна програма розвитку футболу на 2018-2020 роки</t>
  </si>
  <si>
    <t>Проект "Засвітлимо Житомирщину"</t>
  </si>
  <si>
    <t>Виконання інвестиційних проектів в рамках реалізації заходів, спрямованих на розвиток системи охорони здоров'я у сільській місцевості</t>
  </si>
  <si>
    <t>Будівництво очисних споруд каналізації в м. Андрушівка</t>
  </si>
  <si>
    <t>Будівництво очисних споруд каналізації в м. Андрушівка (пусконалагоджувальні  роботи 1-го етапу)</t>
  </si>
  <si>
    <t>Технічне переоснащення із заміною аварійного обладнання КНС № 3 по вул. І. Франка та заміна частини напірного колектора по вул. Клубна в м. Андрушівка</t>
  </si>
  <si>
    <t>Реконструкція та технічне переобладнання очисних споруд господарсько-побутових стічних вод у м. Овруч</t>
  </si>
  <si>
    <t>Реконструкція та технічне переобладнання очисних споруд господарсько-побутових стічних вод у м.Овруч (пусконалагоджувальні роботи)</t>
  </si>
  <si>
    <t>Реконструкція очисних споруд каналізації КП «Черняхів-Добробут» по вул. Індустріальній в смт Черняхів Житомирської області</t>
  </si>
  <si>
    <t>Реконструкція очисних споруд каналізації КП «Черняхів-Добробут» по вул. Індустріальній в смт Черняхів Житомирської області (пусконалагоджувальні  роботи)</t>
  </si>
  <si>
    <t>контроль</t>
  </si>
  <si>
    <t>на фінансову підтримку КП "Футбольний клуб "Полісся" Житомирської міської ради</t>
  </si>
  <si>
    <t xml:space="preserve">Субвенції з державного бюджету місцевим бюджетам </t>
  </si>
  <si>
    <t xml:space="preserve">Дотації  з державного бюджету місцевим бюджетам </t>
  </si>
  <si>
    <t xml:space="preserve">Будівництво інших об"єктів соціальної та виробничої інфраструктури комунальної власності </t>
  </si>
  <si>
    <t>Надання фінансової підтримки громадським організаціям ветеранів і осіб з інвалідністю, діяльність яких має соціальну спрямованість</t>
  </si>
  <si>
    <t>Субвенції з місцевих бюджетів іншим місцевим бюджетам</t>
  </si>
  <si>
    <t>Назва програми / призначення субвенції</t>
  </si>
  <si>
    <t>№ з/п</t>
  </si>
  <si>
    <t>2.</t>
  </si>
  <si>
    <t>1.</t>
  </si>
  <si>
    <t>Програма забезпечення депутатської діяльності, проведення конкурсів та нагород обласної ради на 2018 рік</t>
  </si>
  <si>
    <t xml:space="preserve"> , , </t>
  </si>
  <si>
    <t>4.</t>
  </si>
  <si>
    <t>3.</t>
  </si>
  <si>
    <t>Комплексна програма забезпечення охорони прав і свобод людини, протидії злочинності, підтримання публічної безпеки і порядку у Житомирській області на 2016-2020 роки</t>
  </si>
  <si>
    <t>Обласна комплексна Програма забезпечення пожежної та техногенної безпеки, захисту населення і територій Житомирської області від надзвичайних ситуацій на 2016-2020 роки</t>
  </si>
  <si>
    <t>Програма забезпечення виконання Житомирською обласною державною адміністрацією повноважень, делегованих обласною радою на 2017-2020 роки</t>
  </si>
  <si>
    <t>Програма матеріально-технічного забезпечення, підвищення спроможності та поліпшення умов несення служби особовим складом Житомирського прикордонного загону та Управління служби безпеки України у Житомирській області на 2017-2020 роки</t>
  </si>
  <si>
    <t>8.</t>
  </si>
  <si>
    <t xml:space="preserve">на придбання комп"ютерної та оргтехніки, кондиціонерів  </t>
  </si>
  <si>
    <t>Програми і централізовані заходи профілактики ВІЛ-інфекції/СНІДу</t>
  </si>
  <si>
    <t>на виготовлення органами ведення Державного реєстру виборців списків виборців та іменних запрошень для підготовки і проведення перших виборів депутатів  сільських, селищних, міських рад об"єднаних територіальних громад та відповідних сільських, селищних, міських голів</t>
  </si>
  <si>
    <t>в тому числі :</t>
  </si>
  <si>
    <t>Програма матеріально-технічного забезпечення четвертого батальйону територіальної оборони Житомирської області та Житомирського обласного військового комісаріату  на 2018-2020 роки, рішення обласної ради від 21.12.2017 № 876</t>
  </si>
  <si>
    <t>на співфінансування 30% проекту  "Капітальний ремонт вуличного освітлення  в населених пунктах: с.Ушомир, с.Березневе, с.Заріччя, с.Ковбащина, с.Пугачівка, с.Рудня-Ушомирська, с.Садибне, с.Сантарка, с.Струмок, с.Гулянка, с.Іванопіль, с.Охотівка, с.Першотравневе, с.Ушиця, селище Броди, селище Нова Ушиця, с.Калинівка, с.Вишневе, с.Красногірка, с.Купище, с.Жабче, с.Ришавка Ушомирської сільської ради Коростенського району Житомирської області "</t>
  </si>
  <si>
    <t>Субвенція з місцевого бюджету на співфінансування інвестиційних проектів (на створення регіонального центру надання адміністративних послуг у м.Житомирі, підтримка його функціонування та облаштування)</t>
  </si>
  <si>
    <t>Субвенція з місцевого бюджету за рахунок залишку коштів медичної субвенції, що утворився на початок бюджетного періоду (цільові видатки на  лікування хворих на цукровий та нецукровий діабет)</t>
  </si>
  <si>
    <t xml:space="preserve">Тетерівський сільський бюджет </t>
  </si>
  <si>
    <t xml:space="preserve">Вишевицький сільський бюджет </t>
  </si>
  <si>
    <t xml:space="preserve">Іршанський селищний бюджет </t>
  </si>
  <si>
    <t>Андрушівський міський бюджет Андрушівського району</t>
  </si>
  <si>
    <t>Барашівський селищний бюджет</t>
  </si>
  <si>
    <t>Субвенція з місцевого бюджету на здійснення природоохоронних заходів</t>
  </si>
  <si>
    <t>Департамент регіонального розвитку Житомирської обласної державної адміністрації</t>
  </si>
  <si>
    <t>Департамент агропромислового розвитку та економічної політики Житомирської обласної державної адміністрації</t>
  </si>
  <si>
    <t>Субвенція з державного бюджету місцевим бюджетам на забезпечення якісної, сучасної, та доступної загальної середньої освіти "Нова українська школа"</t>
  </si>
  <si>
    <t>0619350</t>
  </si>
  <si>
    <t>Субвенція з державного бюджету місцевим бюджетам на модернізацію та оновлення матеріально-технічної бази професійно-технічних навчальних закладів</t>
  </si>
  <si>
    <t>Додаток 1.3</t>
  </si>
  <si>
    <t>2717110</t>
  </si>
  <si>
    <t>2717120</t>
  </si>
  <si>
    <t>2718831</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</si>
  <si>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</si>
  <si>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співфінансування на утримання пункту тимчасового базування бригад екстренної медичної допомоги смт Іванопіль Чуднівського району</t>
  </si>
  <si>
    <t xml:space="preserve">на співфінансування об"єкту "Капітальний ремонт будівлі  (термомодернізація) Гришковецької гімназії смт Гришківці Бердичівського району Житомирської області за адресою: Житомирська область, Бердичівський район, смт Гришківці, вул Червоний промінь, 3 </t>
  </si>
  <si>
    <t>Ставищенський сільський бюджет  Брусилівського району</t>
  </si>
  <si>
    <t>Мартинівський сілський бюджет</t>
  </si>
  <si>
    <t>0813111</t>
  </si>
  <si>
    <t>0813121</t>
  </si>
  <si>
    <t>0813122</t>
  </si>
  <si>
    <t>0813123</t>
  </si>
  <si>
    <t>0819241</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</si>
  <si>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 (видатки розвитку)</t>
  </si>
  <si>
    <t>закупівлю комп"ютерного обладнання, відповідного мультимедійного контенту для початкових класів  (видатки розвитку)</t>
  </si>
  <si>
    <t>закупівлю сучасних меблів для початкових класів  (видатки розвитку)</t>
  </si>
  <si>
    <t>закупівлю дидактичних матеріалів для початкових класів  (видатки розвитку)</t>
  </si>
  <si>
    <t>підготовку та підвищення кваліфікації педпрацівників (видатки споживання)</t>
  </si>
  <si>
    <t>Департамент праці, соціальної та сімейної політики Житомирської обласної державної адміністрації</t>
  </si>
  <si>
    <t>Реконструкція футбольного поля та благоустрій території центрального стадіону по вул. Фещенка-Чопівського,18 в м.Житомирі (ІІІ черга)</t>
  </si>
  <si>
    <t>2819740</t>
  </si>
  <si>
    <t>9740</t>
  </si>
  <si>
    <t>Управління національно-патріотичного виховання, молоді та спорту Житомирської обласної державної адміністрації</t>
  </si>
  <si>
    <t>Здійснення заходів в рамках проведення експерименту з розвитку автомобільних доріг загального користування, ділянок вулиць і доріг міст та інших населених пунктів, що суміщаються з автомобільними дорогами загального користування, в усіх областях та м. Києві, а також дорожньої інфраструктури у м. Києві</t>
  </si>
  <si>
    <t>9.</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</si>
  <si>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</si>
  <si>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Субвенція з місцевого бюджету на формування інфраструктури об"єднаних територіальних громад за рахунок відповідної субвенції з державного бюджету</t>
  </si>
  <si>
    <t>0813223</t>
  </si>
  <si>
    <t>3223</t>
  </si>
  <si>
    <t>0819243</t>
  </si>
  <si>
    <t>9243</t>
  </si>
  <si>
    <t>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І-ІІ групи з числа учасників бойових дій на території інших держав, які стали інвалідами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відпдвідної субвенції з державного бюджету</t>
  </si>
  <si>
    <t xml:space="preserve">         С.М. Крамаренко</t>
  </si>
  <si>
    <t>0813048</t>
  </si>
  <si>
    <t>3048</t>
  </si>
  <si>
    <t>Надання при народженні дитини одноразової натуральної допомоги «пакунок малюка»</t>
  </si>
  <si>
    <t>0117693</t>
  </si>
  <si>
    <t>Реконструкція очисних споруд каналізації КП "Черняхів-Добробут" по вул. Індустріальній в смт. Черняхів</t>
  </si>
  <si>
    <t>1612070</t>
  </si>
  <si>
    <t>0819242</t>
  </si>
  <si>
    <t>9242</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</si>
  <si>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та визнані особами з інвалідністю внаслідок війни ІІІ групи відповідно до пунктів 11-14 частини другої статті 7 або учасниками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</si>
  <si>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Виготовлення ПКД на термосанацію будівлі Житомирської ОШВСМ за адресою: Житомирський район, с.Березина, вул.Лісова, 4</t>
  </si>
  <si>
    <t>на інші поточні та капітальні видатки</t>
  </si>
  <si>
    <t xml:space="preserve"> С.М. Крамаренко</t>
  </si>
  <si>
    <t>на проект "Реконструкція вуличного освітлення с.Терехове, Бердичівського району Житомирської області"</t>
  </si>
  <si>
    <t>1611080</t>
  </si>
  <si>
    <t>3718500</t>
  </si>
  <si>
    <t>8500</t>
  </si>
  <si>
    <t>Нерозподілені трансферти з державного бюджету</t>
  </si>
  <si>
    <t>КОНТРОЛЬ</t>
  </si>
  <si>
    <t>Субвенція з державного бюджету місцевим бюджетам на реалізацію заходів, спрямованих на розвиток системи охорони здоров"я у сільській місцевості</t>
  </si>
  <si>
    <t>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бюджетним установам і організаціям та/або іншим підприємствам теплопостачання, централізованого питного водопостачання та водовідведення, які надають такі послуги, та тарифами, що затверджувалися та/або погоджувалися органами державної влади чи місцевого самоврядування</t>
  </si>
  <si>
    <t>Субвенція з місцевого бюджету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бюджетним установам і організаціям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відповідної субвенції з державного бюджету</t>
  </si>
  <si>
    <t>1117325</t>
  </si>
  <si>
    <t xml:space="preserve">                    Доходи обласного бюджету на 2019 рік</t>
  </si>
  <si>
    <t xml:space="preserve">                 Інші субвенції з місцевих бюджетів до обласного бюджету на 2019 рік</t>
  </si>
  <si>
    <t xml:space="preserve">                 Субвенції з місцевих бюджетів до обласного бюджету на співфінансування інвестиційних проектів на 2019 рік</t>
  </si>
  <si>
    <t xml:space="preserve">  Субвенції з місцевих бюджетів до обласного бюджету на формування інфраструктури об"єднаних територіальних громад за рахунок відповідної субвенції з державного бюджету на 2019 рік</t>
  </si>
  <si>
    <t>Фінансування обласного бюджету на 2019 рік</t>
  </si>
  <si>
    <t xml:space="preserve">                 Інші субвенції з обласного бюджету місцевим бюджетам на 2019 рік</t>
  </si>
  <si>
    <t>Субвенції з обласного бюджету державному бюджету на виконання програм соціально-економічного розвитку регіонів на 2019 рік</t>
  </si>
  <si>
    <t>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поводження з побутовими відходами (вивезення побутових відходів) та вивезення рідких нечистот, внесків за встановлення, обслуговування та заміну вузлів комерційного обліку води та теплової енергії, абонентського обслуговування для споживачів комунальних послуг, що надаються у багатоквартирних будинках за індивідуальними договорами</t>
  </si>
  <si>
    <t>Субвенція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</si>
  <si>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Оздоровлення та відпочинок дітей (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</si>
  <si>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0813140</t>
  </si>
  <si>
    <t>1611090</t>
  </si>
  <si>
    <t>1611130</t>
  </si>
  <si>
    <t>Вчорайшенський сільський бюджет</t>
  </si>
  <si>
    <t xml:space="preserve">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</si>
  <si>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</si>
  <si>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придбання спеціальних засобів корекції для учнів спеціальних класів (видатки розвитку)</t>
  </si>
  <si>
    <t>Субвенція з місцевого бюджету на здійснення переданих видатків у сфері освіти за рахунок коштів освітньої субвенції</t>
  </si>
  <si>
    <t>оплату праці педагогічних працівників, залучених до занять з учнями, що знаходяться на тривалому лікуванні у протитуберкульозному диспансері</t>
  </si>
  <si>
    <t>в тому числі цільові видатки на:</t>
  </si>
  <si>
    <t xml:space="preserve"> медичне обслуговування внутрішньо переміщених осіб </t>
  </si>
  <si>
    <t>лікування хворих на цукровий та нецукровий діабет</t>
  </si>
  <si>
    <t>на виконання  Регіональної  (комплексної) цільової соціальної Програми забезпечення житлом дітей-сиріт, дітей, позбавлених батьківського піклування, та осіб з їх числа на 2018-2022 роки</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</si>
  <si>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за рахунок відповідної субвенції з державного бюджету (на зимове утримання місцевих доріг)</t>
  </si>
  <si>
    <t xml:space="preserve">Швайківський сільський бюджет </t>
  </si>
  <si>
    <t>(грн)</t>
  </si>
  <si>
    <t>Найменування згідно з Класифікацією доходів бюджету</t>
  </si>
  <si>
    <t>Усього</t>
  </si>
  <si>
    <t>Усього:</t>
  </si>
  <si>
    <t>Субвенція з місцевого бюджету за рахунок залишку коштів освітньої субвенції, що утворився на початок бюджетного періоду, Усього</t>
  </si>
  <si>
    <t>Субвенція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 Усього</t>
  </si>
  <si>
    <t>Інші субвенції з місцевого бюджету, Усього</t>
  </si>
  <si>
    <t>Разом доходів</t>
  </si>
  <si>
    <t>Найменування згідно з Класифікацією фінансування бюджету</t>
  </si>
  <si>
    <t>усього</t>
  </si>
  <si>
    <t>в тому числі бюджет розвитку</t>
  </si>
  <si>
    <t>Фінансування за типом кредитора</t>
  </si>
  <si>
    <t>Х</t>
  </si>
  <si>
    <t>Фінансування за типом боргового зобов"язання</t>
  </si>
  <si>
    <t>Загальне фінансування</t>
  </si>
  <si>
    <t>Розподіл</t>
  </si>
  <si>
    <t>видатків обласного бюджету на 2019 рік</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</si>
  <si>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</si>
  <si>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</si>
  <si>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Код Програмної класифікації видатків та кредитування  місцевих бюджетів</t>
  </si>
  <si>
    <t>Найменування головного розпорядника коштів місцевого бюджету / відповідального виконавця , найменування бюджетної програми згідно з Типовою програмною класифікацією видатків та кредитування місцевих бюджетів</t>
  </si>
  <si>
    <t>у тому числі бюджет розвитку</t>
  </si>
  <si>
    <t>УСЬОГО</t>
  </si>
  <si>
    <t>Міжбюджетні трансферти на 2019 рік</t>
  </si>
  <si>
    <t>Трансферти з інших місцевих бюджетів</t>
  </si>
  <si>
    <t>Найменування бюджету - одержувача/надавача міжбюджетного трансферту</t>
  </si>
  <si>
    <t>дотація на :</t>
  </si>
  <si>
    <t>субвенції</t>
  </si>
  <si>
    <t>спеціального фонду на:</t>
  </si>
  <si>
    <t xml:space="preserve">загального фонду на: </t>
  </si>
  <si>
    <t>найменування трансферту</t>
  </si>
  <si>
    <t>Трансферти іншим бюджетам</t>
  </si>
  <si>
    <t>дотації на:</t>
  </si>
  <si>
    <t>субвенції загального фонду на:</t>
  </si>
  <si>
    <t>субвенції спеціального фонду на :</t>
  </si>
  <si>
    <t>Розподіл коштів бюджету розвитку за об"єктами у 2019 році</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</si>
  <si>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</si>
  <si>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</si>
  <si>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 гривень</t>
  </si>
  <si>
    <t xml:space="preserve">Обсяг видатків бюджету розвитку, гривень </t>
  </si>
  <si>
    <t>Рівень будівельної готовності об"єкта на кінець бюджетного періоду, %</t>
  </si>
  <si>
    <t>Розподіл витрат обласного бюджету на реалізацію місцевих (регіональних) програм у 2019 році</t>
  </si>
  <si>
    <t>Найменування місцевої /регіональної програми</t>
  </si>
  <si>
    <t>Дата та номер документа, яким затверджено місцеву регіональну програму</t>
  </si>
  <si>
    <r>
      <t>Будівництво</t>
    </r>
    <r>
      <rPr>
        <i/>
        <vertAlign val="superscript"/>
        <sz val="14"/>
        <color indexed="8"/>
        <rFont val="Times New Roman"/>
        <family val="1"/>
        <charset val="204"/>
      </rPr>
      <t>1</t>
    </r>
    <r>
      <rPr>
        <i/>
        <sz val="14"/>
        <color indexed="8"/>
        <rFont val="Times New Roman"/>
        <family val="1"/>
        <charset val="204"/>
      </rPr>
      <t xml:space="preserve"> споруд, установ та закладів фізичної культури і спорту</t>
    </r>
  </si>
  <si>
    <t>Обласна комплексна програма  "Молодь і родина Житомирщини" на 2017-2020 роки</t>
  </si>
  <si>
    <t>Рішення обласної ради від 22.12.2016 № 425</t>
  </si>
  <si>
    <t>Програма соціальної підтримки учасників антитерористичної операції та операції об"єднаних сил, членів сімей загиблих учасників антитерористичної операції та операції об"єднавних сил у 2019 році</t>
  </si>
  <si>
    <t>Обласна комплексна програма соціального захисту осіб з інвалідністю, ветеранів війни та праці, пенсіонерів учасників і ветеранів визвольних змагань (ОУН-УПА) та незахищених верств населення на Житомирської області на 2018-2022 роки</t>
  </si>
  <si>
    <t>Рішення обласної ради від 26.07.2018 № 1130</t>
  </si>
  <si>
    <t>оплату праці педагогічних працівників інклюзивно-ресурсних центрів</t>
  </si>
  <si>
    <t>Обласна цільова програма розвитку високоспеціалізованої медичної допомоги дорослому населенню на 2016-2020 роки</t>
  </si>
  <si>
    <t>Рішення обласної ради від 22.12.16 №408</t>
  </si>
  <si>
    <t>Рішення обласної ради від 02.11.2017 № 775</t>
  </si>
  <si>
    <t>Обласна програма виконання заходів Державної соціальної програми  "Національний план дій щодо реалізації Конвенції ООН про права дитини"  на період до 2021 року</t>
  </si>
  <si>
    <t>Регіональна  (комплексна) цільова соціальна Програма забезпечення житлом дітей-сиріт, дітей, позбавлених батьківського піклування, та осіб з їх числа на 2018-2022 роки</t>
  </si>
  <si>
    <t>Рішення обласної ради від 02.11.2017 №776</t>
  </si>
  <si>
    <t>Обласна комплексна Програма розвитку фізичної культури і спорту на 2017-2020 роки</t>
  </si>
  <si>
    <t>Рішення обласної ради від 22.12.2016 №418, зі змінами</t>
  </si>
  <si>
    <t>Рішення обласної ради від 31.05.2018 № 1021</t>
  </si>
  <si>
    <t>Обласна програма з національно-патріотичного виховання дітей та молоді на 2018-2021 роки</t>
  </si>
  <si>
    <t>Рішення обласної ради від 07.03.2018 №949</t>
  </si>
  <si>
    <t>Обласна програма охорони та збереження культурної спадщини на 2019-2020 роки</t>
  </si>
  <si>
    <t>Програма економічного і соціального розвитку Житомирської області на 2019 рік</t>
  </si>
  <si>
    <t xml:space="preserve">Обласна програма охорони та збереження культурної спадщини на 2019-2020 роки </t>
  </si>
  <si>
    <t>Програма забезпечення депутатської діяльності, проведення конкурсів та нагород обласної ради на 2019 рік</t>
  </si>
  <si>
    <t>Програма підтримки органів місцевого самоврядування та сприяння реалізації ініційованих ними проектів, спрямованих на соціально-економічний розвиток Житомирської області, на 2018-2020 роки</t>
  </si>
  <si>
    <t>Рішення обласної ради від 21.12.2017 № 877</t>
  </si>
  <si>
    <t>Регіональна програма інформатизації
на 2017 – 2019 роки</t>
  </si>
  <si>
    <t>Рішення обласної ради від 22.12.2016 №419</t>
  </si>
  <si>
    <t>Обласна комплексна програма "Молодь і родина Житомирщини" на 2017-2020 роки</t>
  </si>
  <si>
    <t>Рішення обласної ради від 10.09.2015 №1576</t>
  </si>
  <si>
    <t>Програма стимулювання населення, ОСББ, ЖБК Житомирщини щодо ефективного використання енергетичних ресурсів та енергозбереження та 2015-2021 роки</t>
  </si>
  <si>
    <t>Обласна комплексна програма охорони навколишнього природного середовища в Житомирській області на 2018-2022 роки</t>
  </si>
  <si>
    <t>Рішення обласної ради від 21.12.2017 № 880</t>
  </si>
  <si>
    <t>Програма розвитку дорожньої інфраструктури і фінансування робіт, пов'язаних із будівництвом, реконструкцією, ремонтом та утриманням автомобільних доріг в Житомирській області на 2019-2021 роки</t>
  </si>
  <si>
    <t>Програма підвищення безпеки дорожнього руху в Житомирській області на 2019-2020 роки</t>
  </si>
  <si>
    <t>Обласна комунікаційна програма "Відкрита влада" на 2019-2021 роки</t>
  </si>
  <si>
    <t>Програма розвитку агропромислового комплексу Житомирської області на 2016-2020 роки</t>
  </si>
  <si>
    <t>Рішення обласної ради від 21.07.2016 № 284</t>
  </si>
  <si>
    <t>Комплексна Програма забезпечення пожежної та техногенної безпеки, захисту населення і територій Житомирської області від надзвичайних ситуацій на 2016-2020 роки</t>
  </si>
  <si>
    <t>Рішення обласної ради від 24.12.15 № 25</t>
  </si>
  <si>
    <t>Рішення обласної ради від 21.12.2017 № 878</t>
  </si>
  <si>
    <t xml:space="preserve">співфінансування в розмірі 10% капітального ремонту Гранінтенської ЗОШ І-ІІІ ст. за адресою: Житомирська обл. Малинський район смт Гранітне  вул.Чехова 31 </t>
  </si>
  <si>
    <t>співфінансування проекту будівництва "Амбулаторія на 1-2 лікаря  з житлом по вул.Адмірала Левченка, 137 в с.Дубрівка Баранівського району Житомирської області - будівництво"</t>
  </si>
  <si>
    <t>на співфінансування об"єкту "Незавершений будівництвом дитячий садок в с.Кодня Житомирського району - реконструкція під школу"</t>
  </si>
  <si>
    <t>співфінансування на придбання комп"ютерного томографа  для КНП "Центральна районна лікарня "ЖРР</t>
  </si>
  <si>
    <t>Рішення обласної ради від 22.12.2016 № 425 зі змінами</t>
  </si>
  <si>
    <t>Виготовлення проектно-кошторисної документації на будівництво мототреку КЗПО "Житомирська обласна дитячо-юнацька спортивна школа "Юність" Житомирської обласної ради</t>
  </si>
  <si>
    <t>Будівництво медичних установ та закладів</t>
  </si>
  <si>
    <t>Технічне переоснащення котельні КП "Житомирський обласний лікувально-санаторний центр радіаційного захисту для дитячого та дорослого населення "Дениші" за адресою:  с.Дениші , Житомирського району, Житомирської області</t>
  </si>
  <si>
    <t>Засвітлимо Житомирщину</t>
  </si>
  <si>
    <t xml:space="preserve">Реконструкція приміщень обласної клінічної лікарні ім. О.Ф.Гербачевського під відділення анастезіології та інтенсивної терапії для післяопераційних хворих, відділення неврології з нейрореанімацією по вул. Червоного Хреста,3 у м. Житомирі </t>
  </si>
  <si>
    <t>Реконструкція майнового комплексу КЗ "Житомирський обласний ліцей-інтернат для обдарованих дітей" Житомирської обласної ради по вул. Коростишівський, 15 в м. Житомирі з прибудовою фізкультурно-оздоровчого блоку</t>
  </si>
  <si>
    <t>Реконструкція футбольного поля та благоустрій території центрального стадіону по вул. Фещенка-Чопівського, 18</t>
  </si>
  <si>
    <t>Будівництво полігону для збирання та зберігання відходів  підприємств каменеобробної галузі та розміщення виробництва для одержання сировини та готової продукції з відходів виробництва в с. Стрижівка,  Коростишівського району</t>
  </si>
  <si>
    <t>Реставраційно-ремонтні роботи по будівлі Житомирського академічного українського музично-драматичного театру ім. І.Кочерги за адресою: пл.Соборна, 6 в м. Житомирі.</t>
  </si>
  <si>
    <t>на реалізацію заходів Програми економічного і соціального розвитку Житомирської області на 2019 рік</t>
  </si>
  <si>
    <t>на реалізацію заходів Програми забезпечення депутатської діяльності, проведення конкурсів та нагород обласної ради на 2019 рік</t>
  </si>
  <si>
    <t>06546000000</t>
  </si>
  <si>
    <t>06547000000</t>
  </si>
  <si>
    <t>06548000000</t>
  </si>
  <si>
    <t>06549000000</t>
  </si>
  <si>
    <t>06550000000</t>
  </si>
  <si>
    <t>06551000000</t>
  </si>
  <si>
    <t>Бюджет Високівської сільської об’єднаної територіальної громади</t>
  </si>
  <si>
    <t>Бюджет Вишевицька сільської об’єднаної територіальної громади</t>
  </si>
  <si>
    <t>Бюджет Дубрівської сільської об’єднаної територіальної громади</t>
  </si>
  <si>
    <t>Бюджет Іршанської селищної об’єднаної територіальної громади</t>
  </si>
  <si>
    <t>Бюджет Народицької селищної об’єднаної територіальної громади</t>
  </si>
  <si>
    <t>Бюджет Новоборівської селищної об’єднаної територіальної громади</t>
  </si>
  <si>
    <t>Бюджет Потіївської сільської об’єднаної територіальної громади</t>
  </si>
  <si>
    <t>Бюджет Тетерівської сільської об’єднаної територіальної громади</t>
  </si>
  <si>
    <t>Бюджет Червоненської селищної об’єднаної територіальної громади</t>
  </si>
  <si>
    <t>Бюджет Корнинської селищної об’єднаної територіальної громади</t>
  </si>
  <si>
    <t>Бюджет Баранівської міської об’єднаної територіальної громади</t>
  </si>
  <si>
    <t>Бюджет Коростишівської міської об’єднаної територіальної громади</t>
  </si>
  <si>
    <t>Бюджет Олевської міської об’єднаної територіальної громади</t>
  </si>
  <si>
    <t>Бюджет Брусилівської селищної об’єднаної територіальної громади</t>
  </si>
  <si>
    <t>Бюджет Городницької селищної об’єднаної територіальної громади</t>
  </si>
  <si>
    <t>Бюджет Довбиської селищної об’єднаної територіальної громади</t>
  </si>
  <si>
    <t>Бюджет Лугинської селищної об’єднаної територіальної громади</t>
  </si>
  <si>
    <t>Бюджет Миропільської селищної об’єднаної територіальної громади</t>
  </si>
  <si>
    <t>Бюджет Попільнянської селищної об’єднаної територіальної громади</t>
  </si>
  <si>
    <t>Бюджет Хорошівської селищної об’єднаної територіальної громади</t>
  </si>
  <si>
    <t>Бюджет Чоповицької селищної об’єднаної територіальної громади</t>
  </si>
  <si>
    <t>Бюджет Андрушківської сільської об’єднаної територіальної громади</t>
  </si>
  <si>
    <t>Бюджет Барашівської сільської об’єднаної територіальної громади</t>
  </si>
  <si>
    <t>Бюджет Білокоровицької сільської об’єднаної територіальної громади</t>
  </si>
  <si>
    <t>Бюджет Вільської сільської об’єднаної територіальної громади</t>
  </si>
  <si>
    <t>Бюджет Горщиківської сільської об’єднаної територіальної громади</t>
  </si>
  <si>
    <t>Бюджет Квітневої сільської об’єднаної територіальної громади</t>
  </si>
  <si>
    <t>Бюджет Краснопільської сільської об’єднаної територіальної громади</t>
  </si>
  <si>
    <t>Бюджет Семенівської сільської об’єднаної територіальної громади</t>
  </si>
  <si>
    <t>Бюджет Станишівської сільської об’єднаної територіальної громади</t>
  </si>
  <si>
    <t>Бюджет Ушомирської сільської об’єднаної територіальної громади</t>
  </si>
  <si>
    <t>Бюджет Чижівської сільської об’єднаної територіальної громади</t>
  </si>
  <si>
    <t>Бюджет Ємільчинської селищної об’єднаної територіальної громади</t>
  </si>
  <si>
    <t>Бюджет Любарської селищної об’єднаної територіальної громади</t>
  </si>
  <si>
    <t>Бюджет Брониківської сільської об’єднаної територіальної громади</t>
  </si>
  <si>
    <t>Бюджет Піщівської сільської об’єднаної територіальної громади</t>
  </si>
  <si>
    <t>Бюджет Словечанської сільської об’єднаної територіальної громади</t>
  </si>
  <si>
    <t>Бюджет Овруцької міської об’єднаної територіальної громади</t>
  </si>
  <si>
    <t>Бюджет Курненської сільської об’єднаної територіальної громади</t>
  </si>
  <si>
    <t>Бюджет Мартинівської сільської об’єднаної територіальної громади</t>
  </si>
  <si>
    <t>Бюджет Соколівської сільської об’єднаної територіальної громади</t>
  </si>
  <si>
    <t>Бюджет Пулинської селищної об’єднаної територіальної громади</t>
  </si>
  <si>
    <t>Бюджет Радомишльської міської об’єднаної територіальної громади</t>
  </si>
  <si>
    <t>Бюджет Глибочицької сільської об’єднаної територіальної громади</t>
  </si>
  <si>
    <t>Бюджет Оліївської сільської об’єднаної територіальної громади</t>
  </si>
  <si>
    <t>Бюджет Вільшанської сільської об’єднаної територіальної громади</t>
  </si>
  <si>
    <t>Бюджет Вчорайшенської сільської об’єднаної територіальної громади</t>
  </si>
  <si>
    <t>Бюджет Гришковецької селищної об’єднаної територіальної громади</t>
  </si>
  <si>
    <t>Бюджет Райгородоцької сільської об’єднаної територіальної громади</t>
  </si>
  <si>
    <t>Бюджет Чуднівської міської об’єднаної територіальної громади</t>
  </si>
  <si>
    <t>Бюджет Швайківської сільської об’єднаної територіальної громади</t>
  </si>
  <si>
    <t>Бюджет міста Житомира</t>
  </si>
  <si>
    <t>Бюджет міста Бердичева</t>
  </si>
  <si>
    <t>Бюджет міста Коростеня</t>
  </si>
  <si>
    <t>Бюджет міста Новоград-Волинського</t>
  </si>
  <si>
    <t>Бюджет міста Малина</t>
  </si>
  <si>
    <t>Районний бюджет Андрушівського району</t>
  </si>
  <si>
    <t>Районний бюджет Баранівського району</t>
  </si>
  <si>
    <t>Районний бюджет Бердичівський району</t>
  </si>
  <si>
    <t>Районний бюджет Брусилівського району</t>
  </si>
  <si>
    <t>Районний бюджет Хорошівського району</t>
  </si>
  <si>
    <t>Районний бюджет Романівського району</t>
  </si>
  <si>
    <t>Районний бюджет Ємільчинський району</t>
  </si>
  <si>
    <t>Районний бюджет Житомирського району</t>
  </si>
  <si>
    <t>Районний бюджет Коростенського району</t>
  </si>
  <si>
    <t>Районний бюджет Коростишівського району</t>
  </si>
  <si>
    <t>Районний бюджет Лугинського району</t>
  </si>
  <si>
    <t>Районний бюджет Любарського району</t>
  </si>
  <si>
    <t>Районний бюджет Малинського району</t>
  </si>
  <si>
    <t>Районний бюджет Народицького району</t>
  </si>
  <si>
    <t>Районний бюджет Новоград-Волинського району</t>
  </si>
  <si>
    <t>Районний бюджет Овруцького району</t>
  </si>
  <si>
    <t>Районний бюджет Олевського району</t>
  </si>
  <si>
    <t>Районний бюджет Попільнянського району</t>
  </si>
  <si>
    <t>Районний бюджет Радомишльського району</t>
  </si>
  <si>
    <t>Районний бюджет Ружинського району</t>
  </si>
  <si>
    <t>Районний бюджет Пулинського району</t>
  </si>
  <si>
    <t>Районний бюджет Черняхівського району</t>
  </si>
  <si>
    <t>Районний бюджет Чуднівського району</t>
  </si>
  <si>
    <t>Бюджет міста Новограда-Волинського</t>
  </si>
  <si>
    <t>Районний бюджет Бердичівського району</t>
  </si>
  <si>
    <t>Районний бюджет  Романівського району</t>
  </si>
  <si>
    <t>Районний бюджет Ємільчинського району</t>
  </si>
  <si>
    <t>Районний бюджет Радомишльського  району</t>
  </si>
  <si>
    <t>Рішення обласної ради від 18.12.2018 № 1298</t>
  </si>
  <si>
    <t>Рішення обласної ради від 18.12.2018 № 1293</t>
  </si>
  <si>
    <t>Рішення обласної ради від 18.12.2018 № 1297</t>
  </si>
  <si>
    <t>Обласна програма оздоровлення та відпочинку дітей на 2019-2020 роки</t>
  </si>
  <si>
    <r>
      <t>Будівництво</t>
    </r>
    <r>
      <rPr>
        <vertAlign val="superscript"/>
        <sz val="14"/>
        <rFont val="Times New Roman"/>
        <family val="1"/>
        <charset val="204"/>
      </rPr>
      <t>1</t>
    </r>
    <r>
      <rPr>
        <sz val="14"/>
        <rFont val="Times New Roman"/>
        <family val="1"/>
        <charset val="204"/>
      </rPr>
      <t xml:space="preserve"> споруд, установ та закладів фізичної культури і спорту</t>
    </r>
  </si>
  <si>
    <t>Рішення обласної ради від 18.12.2018 № 1294</t>
  </si>
  <si>
    <t>Рішення обласної ради від 18.12.2018 № 1295</t>
  </si>
  <si>
    <t>Рішення обласної ради від 18.12.2018 № 1305</t>
  </si>
  <si>
    <t>Рішення обласної ради від 18.12.2018 № 1303</t>
  </si>
  <si>
    <t>Рішення обласної ради від 18.12.2018 № 1304</t>
  </si>
  <si>
    <t>Рішення обласної ради від 18.12.2018 № 1306</t>
  </si>
  <si>
    <t>на співфінансування 10% проекту "Технічне переоснащення станції знезалізнення водонапірної вежі с.Поліське по вул.Молодіжна Коростенського району Житомирської області"</t>
  </si>
  <si>
    <t>реконструкція станції знезалізнення ВНС № 1 по вул.Радянській в м. Овруч Житомирськоої області (коригування)</t>
  </si>
  <si>
    <t>реконструкція станції знезалізнення ВНС № 2 по вул.Карпінського в м. Овруч Житомирськоої області (коригування)</t>
  </si>
  <si>
    <t>Бюджет Коднянської сільської ради Житомирського району</t>
  </si>
  <si>
    <t xml:space="preserve">Реконструкція станціїї знезалізнення ВНС №1 по вул. Радянській в м.Овруч Житомирської області (коригування) </t>
  </si>
  <si>
    <t>Реконструкція станції знезалізнення ВНС №2 по вул. Карпінського в м. Овруч Житомирської області (коригування)</t>
  </si>
  <si>
    <t>Технічне переоснащення станції знезалізнення водонапірної вежі в с.Поліське по вул. Молодіжна Коростенського району Житомирської області</t>
  </si>
  <si>
    <t>Реконструкція вуличного освітлення села Бондарівка Коростенського району, Житомирської області (коригування)</t>
  </si>
  <si>
    <t>2018-2019</t>
  </si>
  <si>
    <r>
      <t>Будівництво</t>
    </r>
    <r>
      <rPr>
        <vertAlign val="superscript"/>
        <sz val="12"/>
        <rFont val="Times New Roman"/>
        <family val="1"/>
        <charset val="204"/>
      </rPr>
      <t xml:space="preserve"> 1</t>
    </r>
    <r>
      <rPr>
        <sz val="12"/>
        <rFont val="Times New Roman"/>
        <family val="1"/>
        <charset val="204"/>
      </rPr>
      <t xml:space="preserve"> інших об'єктів комунальної власності</t>
    </r>
  </si>
  <si>
    <t>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поводження з побутовими відходами (вивезення побутових відходів) та вивезення рідких нечистот, внесків за встановлення, обслуговування та заміну вузлів комерційного обліку води та теплової енергії, абонентського обслуговування для споживачів комунальних послуг, що надаються у багатоквартирних будинках за індивідуальними договорами за рахунок відповідної субвенції з державного бюджету</t>
  </si>
  <si>
    <t xml:space="preserve">Субвенція з місцевого бюджету на виплату грошової компенсації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за рахунок відповідної субвенції з державного бюджету
</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</si>
  <si>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</si>
  <si>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</si>
  <si>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</si>
  <si>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</si>
  <si>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</si>
  <si>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співфінансуання проекту "Амбулаторія на 1-2 лікаря з житлом по вул. Центральна, 10 у с. Високе Черняхівського району Житомирської області - будівництво"</t>
  </si>
  <si>
    <t>співфінансування придбання шкільного автобуса</t>
  </si>
  <si>
    <t xml:space="preserve">співфінансування проекту "Капітальний ремонт внутрішніх приміщень із створенням нового освітнього простору за  стандартами  Новоукраїнської школи (НУШ) у Високівській гімназії Високівської сільської ради за адресою: вул. Центральна 15, с.Високе Черняхівського району Житомирської області" </t>
  </si>
  <si>
    <t>співфінансування об"єкту "Реконструкція закладу дошкільної освіти з провадженням нового освітнього простору за адресою: Бердичівський район, с.Слободище, вул.Карпенка, 15"</t>
  </si>
  <si>
    <t>співфінансування проекту "Амбулаторія на 1-2 лікаря з житлом по вул. Каштанова, 113 а у с. Семенівка Бердичівського району Житомирської області - будівництво"</t>
  </si>
  <si>
    <t>співфінансування проекту "Реконструкція вуличного освітлення по вул. Польова, Л.Українки та вул.Революції Гідності  в с.Красівка, Бердичівського району, Житомирської області"</t>
  </si>
  <si>
    <t>співфінансування об"єкту "Амбулаторія на 1-2 лікаря з житлом по вул. Малікова, 51б у с. Хочине Олевського району Житомирської області - будівництво"</t>
  </si>
  <si>
    <t>співфінансування проекту "Капітальний ремонт вуличного освітлення с. Кленове Новоград-Волинського району Житомирської області"</t>
  </si>
  <si>
    <t>співфінансування проекту "Капітальний ремонт вуличного освітлення с. Червона Воля Новоград-Волинського району Житомирської області"</t>
  </si>
  <si>
    <t>співфінансування проекту "Технічне переоснащення станції водопідготовки в смт Городниця Новоград-Волинського району Житомирської області"</t>
  </si>
  <si>
    <t>на капітальний ремонт Пулинської ЗОШ І-ІІІ ст. за адресою: смт Пулини вул.Шевченка, 158 Житомирської області (комплексна термосанація)</t>
  </si>
  <si>
    <t>на співфінансування по об"єкту "Реконструкція мереж водопостачання м.Малина Житомирської області"</t>
  </si>
  <si>
    <t>співфінансування проекту "Амбулаторія на 1-2 лікаря з житлом в с. Оліївка по вул. Зоряна, 72а (південний схід с. Сонячне) Житомирського району Житомирської області - будівництво"</t>
  </si>
  <si>
    <t>на співфінансування  проекту "Амбулаторія на 1-2 лікаря з житлом по вул. Шляхова, 55 у с. Покалів Овруцького району Житомирської області - будівництво"</t>
  </si>
  <si>
    <t>співфінансування на реконструкцію загальноосвітньої школи І-ІІІ ступенів с.Словечне Овруцького району Житомирської області</t>
  </si>
  <si>
    <t>співфінансування проекту будівництва "Амбулаторія на 1-2 лікаря з житлом по вул. Шкільна, 1 у с. Нові Вороб"ї Малинського району Житомирської області - будівництво"</t>
  </si>
  <si>
    <t>співфінансування придбання шкільних автобусів</t>
  </si>
  <si>
    <t xml:space="preserve">співфінансування проекту "Капітальний ремонт районного Будинку культури за адресою: Житомирська область, місто Малин, вул.Грушевського,16" </t>
  </si>
  <si>
    <t>співфінансування проекту "Реконструкція вуличного освітлення по вул. Шевченка та вул.Б.Хмельницького в с.Красівка, Бердичівського району, Житомиської області"</t>
  </si>
  <si>
    <t>співфінансування проекту "Реконструкція вуличного освітлення по вул.Незалежності, Рад, Корольова та по пров.Б.Хмельницького в с.Красівка, Бердичівського району, Житомирської області"</t>
  </si>
  <si>
    <t>співфінансування проекту "Капітальний ремонт зовнішнього освітлення вулиць в с.Копище Олевського району Житомирської області"</t>
  </si>
  <si>
    <t>на співфінансування об"єкту "Амбулаторія на 1-2 лікаря з житлом по вул. Соборна,23 у с. Райгородок Бердичівського району Житомирської області - будівництво"</t>
  </si>
  <si>
    <t>у закладах дошкільної освіти</t>
  </si>
  <si>
    <t>у закладах професійної (професійно-технічної) освіти</t>
  </si>
  <si>
    <t xml:space="preserve">співфінасування об"єкту "Коригування  робочого проекту по об"єкту: "Олевська гімназія по вул.Інтернаціональна, 34 в м.Олевськ Житомирської області - будівництво" (завершення будівництва) </t>
  </si>
  <si>
    <t>оснащення кабінетів інклюзивно-ресурсних центрів</t>
  </si>
  <si>
    <t>оплата за проведення корекційно-розвиткових занять і придбання спеціальних засобів корекції для учнів інклюзивних класів</t>
  </si>
  <si>
    <t>Реконструкція вуличного освітлення по вул. Шевченка та вул.Б.Хмельницького в с.Красівка, Бердичівського району, Житомиської області</t>
  </si>
  <si>
    <t>Реконструкція вуличного освітлення по вул. Польова, Л.Українки та вул.Революції Гідності  в с.Красівка, Бердичівського району, Житомирської області</t>
  </si>
  <si>
    <t>Реконструкція вуличного освітлення по вул.Незалежності, Рад, Корольова та по пров.Б.Хмельницького в с.Красівка, Бердичівського району, Житомирської області</t>
  </si>
  <si>
    <t>Реконструкція вуличного освітлення с.Терехове, Бердичівського району Житомирської області</t>
  </si>
  <si>
    <t>Капітальний ремонт вуличного освітлення с. Кленове Новоград-Волинського району Житомирської області</t>
  </si>
  <si>
    <t>Капітальний ремонт вуличного освітлення с. Червона Воля Новоград-Волинського району Житомирської області</t>
  </si>
  <si>
    <t>Технічне переоснащення станції водопідготовки в смт Городниця Новоград-Волинського району Житомирської області</t>
  </si>
  <si>
    <t>Капітальний ремонт районного Будинку культури за адресою: Житомирська область, місто Малин, вул.Грушевського,16</t>
  </si>
  <si>
    <t>Капітальний ремонт внутрішніх приміщень із створенням нового освітнього простору за  стандартами  Новоукраїнської школи (НУШ) у Високівській гімназії Високівської сільської ради за адресою: вул. Центральна 15, с.Високе Черняхівського району Житомирської області</t>
  </si>
  <si>
    <t>Реконструкція загальноосвітньої школи І-ІІІ ступенів с.Словечне Овруцького району Житомирської області</t>
  </si>
  <si>
    <t>Реконструкція закладу дошкільної освіти з провадженням нового освітнього простору за адресою: Бердичівський район, с.Слободище, вул.Карпенка, 15</t>
  </si>
  <si>
    <t>Реконструкція мереж водопостачання м.Малина Житомирської області</t>
  </si>
  <si>
    <t>Додаток 1.2</t>
  </si>
  <si>
    <t>Усього доходів (без урахування міжбюджетних трансфертів)</t>
  </si>
  <si>
    <t>співфінансуання проекту "Реконструкція частини будівлі ЗОШ № 13 під туалет з надбудовою 2 поверху по вул. Селезньова, 101 в м.Коростені (коригування кошторису)"</t>
  </si>
  <si>
    <t>Бюджет Вишевицької сільської об’єднаної територіальної громади</t>
  </si>
  <si>
    <t xml:space="preserve">співфінансування на будівництво амбулаторії на 1-2 лікаря з житлом по вул. Миру, 9 у с. Ірша Радомишльського району </t>
  </si>
  <si>
    <t>співфінансування проекту "Термосанація Любарської гімназії № 1"</t>
  </si>
  <si>
    <t>співфінансування об"єкту "Амбулаторія на 1-2 лікаря з житлом по вул. Осівка, 1б у с.Швайківка Бердичівського району Житомирської області - будівництво"</t>
  </si>
  <si>
    <t>Бюджет сільської об’єднаної територіальної громади</t>
  </si>
  <si>
    <t>співфінансування на придбання шкільного автобуса</t>
  </si>
  <si>
    <t>на співфінансування вуличного освітлення населених пунктів Любарської селищної ради</t>
  </si>
  <si>
    <t>на ремонт автомобільної техніки Радомишльському професійному ліцею</t>
  </si>
  <si>
    <t>на співфінансування для закупівлі телемедичного обладнання для КНП "Центр первинної медико-санітарної допомоги" Семенівської сільської ради</t>
  </si>
  <si>
    <t>Бюджет</t>
  </si>
  <si>
    <t>на співфінансування закупівлі телемедичного обладнання</t>
  </si>
  <si>
    <t>для терапевтичного відділення реабілітації і лікування громадян, які постраждали внаслідок Чорнобильської катастрофи обласної клінічної лікарні ім.О.Ф.Гербачевського на придбання медикаментів для лікування громадян, які постраждали внаслідок Чорнобильської катастрофи</t>
  </si>
  <si>
    <t>на капітальний ремонт будівлі (термомодернізація) Хажинської загальноосвітньої школи І-ІІІ ступенів Семенівської сільської ради Житомирської області за адресою:  Житомирська область, Бердичівський район, с.Хажин, вул. Двірська, 42</t>
  </si>
  <si>
    <t>на співфінансування для закупівлі телемедичного обладнання для амбулаторії загальної практики сімейної медицини КНП " ЦПМСД" Новоборівської селищної ради</t>
  </si>
  <si>
    <t>на співфінансування проекту "Реконструкція Новоборівського загальноосвітнього закладу І-ІІІ ступенів -ліцею по вул.Освіти, 7 в смт Нова Борова"</t>
  </si>
  <si>
    <t>Бюджет Березянської сільської ради Ружинського району</t>
  </si>
  <si>
    <t>капітальний ремонт мереж зовнішнього освітлення в с.Березянка Ружинського району Житомирської області по вул. Шкільна, вул.Центральна (права сторона), вул.Стадіонна</t>
  </si>
  <si>
    <t>капітальний ремонт мереж зовнішнього освітлення в с.Березянка Ружинського району Житомирської області по вул. Центральна (ліва сторона), вул.Райдужна</t>
  </si>
  <si>
    <t>на співфінансування проекту "Капітальний ремонт будівлі (термомодернізація) Гришковецької гімназії смт Гришківці Бердичівського району Житомирської області за адресою: Житомирська область, Бердичівський район, смт.Гришківці, вул.Червоний промінь,3 (коригування)</t>
  </si>
  <si>
    <t>на співфінансування будівництва об"єкту " Амбулаторія на 1-2 лікаря з житлом по вулиці Каштанова 4а у смт Гришківці Бердичівського району Житомирської  області - будівництво</t>
  </si>
  <si>
    <t>на реконструкцію (ефективну термосанацію) Миропільської гімназії</t>
  </si>
  <si>
    <t>Будівництво амбулаторії на 1-2 лікаря з житлом по вул.Центральна, 48 у с.Краснопіль Чуднівського району</t>
  </si>
  <si>
    <t>капітальне будівництво амбулаторії монопрактики із службовим житлом для сімейного лікаря в с.Піски</t>
  </si>
  <si>
    <t>на придбання шкільних автобусів на засадах співфінансування</t>
  </si>
  <si>
    <t>співфінансування на придбання сучасних навчальних кабінетів фізики та біології для комунального опорного закладу освіти Глибочицький ліцей</t>
  </si>
  <si>
    <t>співфінансування на надання медичних послуг із застосуванням телемедицини для Гальчинської АЗПСМ, Андрушівський район с.Гальчин, вулиця Корольова, 116</t>
  </si>
  <si>
    <t xml:space="preserve">співфінансування для проведення реконструкції спорткомплексу  "Динамо" за рахунок розбудови за адресою пров. Шкільний, 8 м.Радомишль </t>
  </si>
  <si>
    <t>співфінансування на будівництво амбулаторії на 1-2 лікаря  з житлом по вул.Центральній, 42 в с.Борщів Радомишльського району</t>
  </si>
  <si>
    <t>на погашення кредиторської заборгованості за виконані роботи по об"єкту "Технічне переоснащення котельні з переведенням на альтернативні види палива в смт Головине"</t>
  </si>
  <si>
    <t>на співфінансування проекту "Реконструкція покрівлі з утепленням фасадів Черняхівської гімназії по вул. Червоноармійська, 14 в смт Черняхів Житомирської області"</t>
  </si>
  <si>
    <t>КУ "ЦЕМД та МК" Житомирської обласної ради на придбання медичної апаратури та виробів медичного призначенння для роботи відділення пункту постійного базування бригад екстреної медичної допомоги Коростенського району</t>
  </si>
  <si>
    <t>фінансову підтримку КП "Футбольний клуб "Полісся" Житомирської міської ради</t>
  </si>
  <si>
    <t>проведення заходів з оздоровлення та відпочинку</t>
  </si>
  <si>
    <t xml:space="preserve">забезпечення належних санітарно-гігієнічних умов у приміщеннях закладів загальної середньої освіти  (видатки розвитку) </t>
  </si>
  <si>
    <t>Субвенція з місцевого бюджету за рахунок залишку коштів освітньої субвенції, що утворився на початок бюджетного періоду, усього</t>
  </si>
  <si>
    <t>підготовку тренерів-педагогів, супервізорів, проведення супервізії (видатки споживання)</t>
  </si>
  <si>
    <t>Субвенція з державного бюджету місцевим бюджетам на реалізацію заходів, спрямованих на підвищення якості освіти</t>
  </si>
  <si>
    <t>на придбання електрокардіографа для оснащення санітарних автомобілів  швидкої медичної допомоги для КУ "Обласний центр екстренної медичної допомоги та медицини катастроф" у відділення (пункт) постійного базування бригад екстренної медичної допомоги Хорошівського  району</t>
  </si>
  <si>
    <t>придбання шкільного автобуса</t>
  </si>
  <si>
    <t>на придбання телемедичного обладнання для амбулаторії загальної практики сімейної медицини с.Рижани</t>
  </si>
  <si>
    <t>на закупівлю персональних комп"ютерів для Рижанської гімназії</t>
  </si>
  <si>
    <t>співфінансування на закупівлю телемедичного обладнання для Бондарівської амбулаторії загальної практики сімейної медицини</t>
  </si>
  <si>
    <t>співфінансування 10 % на закупівлю телемедичного обладнання</t>
  </si>
  <si>
    <t>1617324</t>
  </si>
  <si>
    <t>1617363</t>
  </si>
  <si>
    <t>7363</t>
  </si>
  <si>
    <t>Виконання інвестиційних проектів в рамках реалізації заходів щодо соціально-економічного розвитку окремих територій</t>
  </si>
  <si>
    <t>1613105</t>
  </si>
  <si>
    <t>0717693</t>
  </si>
  <si>
    <t>0491</t>
  </si>
  <si>
    <t>Інші заходи, пов"язані з економічною діяльністю</t>
  </si>
  <si>
    <t>0619360</t>
  </si>
  <si>
    <t>оновлення матеріально-технічної бази загальноосвітніх навчальних закладів</t>
  </si>
  <si>
    <t xml:space="preserve">в тому числі на </t>
  </si>
  <si>
    <t xml:space="preserve">Придбання посуду для їдалень закладів дошкільної освіти </t>
  </si>
  <si>
    <t>Додаток 5.3</t>
  </si>
  <si>
    <t>Бюджет Жолобненської сілської ради Новоград-Волинського району</t>
  </si>
  <si>
    <t>Бюджет Киянської сілської ради Новоград-Волинського району</t>
  </si>
  <si>
    <t>учасникам, які зайняли 4-е та 5-е місце в обласному конкурсі "Краща спортивна команда Житомирщини"</t>
  </si>
  <si>
    <t>Спорудження (створення) пам"ятника Степану Бандері</t>
  </si>
  <si>
    <t>Придбання та встановлення металопластикових вікон в під"їздах будинку та місцях загального користування житлового будинку за адресою: м.Житомир, просп. Миру,6-8</t>
  </si>
  <si>
    <t>Придбання та встановлення металопластикових вікон в під"їздах на місцях  загального користування у житловому будинку за адресою: м.Житомир, просп. Миру, 10</t>
  </si>
  <si>
    <t>Придбання та встановлення металопластикових вікон в під"їздах на місцях загального користування у житловому будинку за адресою: м.Житомир, вул.Л.Українки, 38</t>
  </si>
  <si>
    <t>Придбання обладнання для дитячих ігрових майданчиків для Житомирського дошкільного навчального закладу № 27</t>
  </si>
  <si>
    <t>Придбання шафи холодильної для Житомирського спеціального центру розвитку дитини санаторного типу № 41</t>
  </si>
  <si>
    <t xml:space="preserve">Придбання білизни для гінекологічного відділення КП "Лікарня № 1" Житомирської міської ради </t>
  </si>
  <si>
    <t xml:space="preserve">Придбання  сантехнічної продукції для ЖДНЗ № 30 </t>
  </si>
  <si>
    <t>Придбання та  встановлення спортивно-гімнастичного комплексу на прибудинковій території ОСББ "Провулок Вокзальний, 12" у м.Житомирі</t>
  </si>
  <si>
    <t xml:space="preserve">Придбання пральної машини для Житомирського дошкільного навчального закладу № 21 </t>
  </si>
  <si>
    <t>Придбання системного блоку для методичного кабінету Житомирського дошкільного навчального закладу № 40</t>
  </si>
  <si>
    <t xml:space="preserve">Заміна вікон у місцях загального користування в 12-ти багатоквартирних  будинках ТОВ "Управляюча компанія "Полісся" м.Житомира </t>
  </si>
  <si>
    <t>Капітальний ремонт, заміна електроосвітлення, силових проводок, приладів обліку, розподільчих щитів в житловому будинку по вул.Шевченка, 41 м.Житомира</t>
  </si>
  <si>
    <t>Встановлення вхідних дверей у під"їзди, освітлення прибудинкової території та місць загального користування, облаштування офісного приміщення для ОСББ "Провулок Вокзальний, 12"</t>
  </si>
  <si>
    <t>Облаштування дитячого майданчика, придбання гімнастичного комплексу для ОСББ "Техносервіс"</t>
  </si>
  <si>
    <t>Фінансова підтримка КП "Футбольний клуб "Полісся"</t>
  </si>
  <si>
    <t>Придбання та встановлення дитячого ігрового майданчика на прибудинковій території житлового будинку по вул.Братів Міхеєвих, 6 в м.Бердичеві (ОСББ "Зоряний - 6-БМ")</t>
  </si>
  <si>
    <t>Придбання та встановлення дитячого ігрового майданчика на прибудинковій території житлового будинку по вул.Братів Міхеєвих, 5 в м.Бердичеві (ОСББ "Щаслива оселя - 3 - 5")</t>
  </si>
  <si>
    <t>Придбання та встановлення дитячого ігрового майданчика на прибудинковій території житлового будинку по вул.Одеській, 66-а в м.Бердичеві (ОСББ "Сучасник - 66 а")</t>
  </si>
  <si>
    <t>Придбання та встановлення дитячого ігрового майданчика на прибудинковій території житлового будинку по вул.Михайла Грушевського, 22 в м.Бердичеві (ОСББ "Грушевського - 22")</t>
  </si>
  <si>
    <t>Придбання та встановлення дитячого ігрового майданчика  на прибудинковій території ОСББ "Хуторок-2АБ" за адресою вул.Братів Міхеєввих 2-Б</t>
  </si>
  <si>
    <t>Придбання та встановлення вхідних металевих дверей у під"їзди житлового будинку по вул. Зоряній, 30-Б</t>
  </si>
  <si>
    <t xml:space="preserve">Поточний ремонт стадіону ДЮСШ м.Бердичева по вул.Шкіряників, 1а </t>
  </si>
  <si>
    <t>Придбання та встановлення дитячого ігрового спортивного майданчика на прибудинковій території житлового будинку на пл.Соборній,22 в м.Бердичеві (МК ВЖРЕП № 7)</t>
  </si>
  <si>
    <t>Капітальний ремонт заповнень віконних та дверних прорізів в під"їздах житлових будинків по вул.Козацькій, 54, 58, вул.Миру, 4, вул.Молодогвардійській, 10 в м.Бердичеві (МК ВЖРЕП № 7)</t>
  </si>
  <si>
    <t>Придбання та встановлення дитячого майданчика  за адресою м.Бердичів, вул Мостова 1/2 (ОСББ "Світанок -1/2")</t>
  </si>
  <si>
    <t>Капітальний ремонт дорожного покриття вул.Березневої в м.Бердичеві</t>
  </si>
  <si>
    <t>Придбання лінолеуму для ДНЗ № 28 "Казка" м.Бердичева</t>
  </si>
  <si>
    <t>Придбання телевізова для ЗДО (ясла-садок) комбінованого типу № 2 "Калинонька" м.Бердичева</t>
  </si>
  <si>
    <t>Придбання будівельних матеріалів для ремонту  та придбання світильників для перев"язувального кабінету травматологічного відділення КНП "Бердичівська міська лікарня" Бердичівської міської ради</t>
  </si>
  <si>
    <t xml:space="preserve">Придбання та встановлення ігрових майданчиків для ЗОШ №8 </t>
  </si>
  <si>
    <t>Придбання та встановлення ігрових майданчиків для центру позашкільної освіти ім.О.Разумкова</t>
  </si>
  <si>
    <t>Придбання сухожарової шафи та центрифуги для КНП "Бердичівська міська лікарня" Бердичівської міської ради</t>
  </si>
  <si>
    <t>Придбання будівельних та оздоблювальних матеріалів для проведення ремонтно-будівельних робіт у дошкільному навчальному закладі (ясла-садок) комбінованого типу № 25</t>
  </si>
  <si>
    <t>Придбання медичного обладнання для КНП "Новоград-Волинське міськрайонне ТМО"</t>
  </si>
  <si>
    <t xml:space="preserve">Придбання медичного обладнання, виробів медичного обладнання та медичної інформаційної системи для Малинського МРТМО </t>
  </si>
  <si>
    <t>Проведення ремонтних робіт в харчоблоці та мережі водопостачання  для комунального підприємства оздоровчого дитячо-юнацького закладу "Березовий гай"</t>
  </si>
  <si>
    <t>Поточний ремонт Будинку культури с.Сербо-Слобідка</t>
  </si>
  <si>
    <t>Поточний ремонт приміщення ДНЗ "Дюймовочка" с.Рихальське</t>
  </si>
  <si>
    <t>Придбання комп"ютерів (117000), автоклава (130000) та ремонт ліфта (73000) для Ємільчинськї ЦРЛ</t>
  </si>
  <si>
    <t>Придбання кольорового принтеру для Биківського закладу дошкільної освіти "Сонечко"</t>
  </si>
  <si>
    <t>Придбання меатеріалів та проведення поточного ремонту по заміні підлоги у музично-спортивній залі Романівського центру розвитку дитини</t>
  </si>
  <si>
    <t>На встановлення та облаштування дитячого ігрового майданчика в Печанівській сільській раді</t>
  </si>
  <si>
    <t>Придбання матеріалів та проведення будівництва водогінної мережі по вул. Вишневій смт Романів</t>
  </si>
  <si>
    <t xml:space="preserve">Поточний ремонт Романівського районного Будинку культури </t>
  </si>
  <si>
    <t>Облаштування благоустрою кладовища в с.Сінгури</t>
  </si>
  <si>
    <t>Придбання спортивних костюмів для ФК "Левків"</t>
  </si>
  <si>
    <t>Придбання музичної апаратури для клубу у с.Калинівка</t>
  </si>
  <si>
    <t>Придбання сценічних костюмів для клубу у с.Клітчин</t>
  </si>
  <si>
    <t>Придбання дитячого майданчика для с.Калинівка</t>
  </si>
  <si>
    <t>Придбання дитячої постільної білизни для Левківського ДНЗ "Золотий ключик"</t>
  </si>
  <si>
    <t>Технічне переоснащення з заміною медико-технологічного обладнання рентгенкабінету поліклініки КНП "Центральна районна лікарня" Житомирської районної ради по шосе Сквирське, 3 в с.Станишівка Житомирського району</t>
  </si>
  <si>
    <t>Поточний ремонт вуличного освітлення на території РСТ масиву "Давидівський" Іванівської сільської ради Житомирського району</t>
  </si>
  <si>
    <t>Придбання та встановлення спортивно-тренажерного майданчика в смт Озерне для КУ "Новогуйвинська комплексна дитячо-юнацька спортивна школа" Житомирської районної ради</t>
  </si>
  <si>
    <t>Придбання та встановлення дитячого спортивно-ігрового майданчика в смт Озерне  для КУ "Новогуйвинська комплексна дитячо-юнацька спортивна школа" Житомирської районної ради</t>
  </si>
  <si>
    <t xml:space="preserve">Придбання костюмів аматорському колективу "Льоноцвіт" Стремигородського Будинку культури </t>
  </si>
  <si>
    <t>Придбання гойдалок для Хотинівської сільської ради</t>
  </si>
  <si>
    <t>Придбання костюмів аматорському колективу "Коралі"  Шершнівського Будинку культури</t>
  </si>
  <si>
    <t>Придбання  велосипедів для Меленівської сільської ради</t>
  </si>
  <si>
    <t>Придбання музичного центу для Сарновицького Будинку культури</t>
  </si>
  <si>
    <t>Придбання комп"ютерної та оргтехніки для Гуменницької сільської ради</t>
  </si>
  <si>
    <t>Придбання та встановлення металопластикових вікон в приміщенні Коростишівської районної ради за адресою : м.Коростишів, вул. Соборна Площа, 18</t>
  </si>
  <si>
    <t>Придбання обладнання та встановлення автономного вуличного освітлення на сонячних батареях  для Морозівської сільської ради</t>
  </si>
  <si>
    <t xml:space="preserve">На оплату праці працівників районної ради </t>
  </si>
  <si>
    <t xml:space="preserve">Поточний ремонт вуличного освітлення у с.Кикова </t>
  </si>
  <si>
    <t>Поточний ремонт тротуару біля річки Смолки за адресою: с.Сусли вул.Центральна</t>
  </si>
  <si>
    <t>Капітальний ремонт ФП у с. Стриєва</t>
  </si>
  <si>
    <t>Капітальний ремонт сільського клубу у с.Киянка</t>
  </si>
  <si>
    <t xml:space="preserve">Реконструкція незавершеного будівництва спального корпусу під дитячий дошкільний заклад  в с.Гульськ Новоград-Волинського району </t>
  </si>
  <si>
    <t>Придбання холодильної камери для Кам"янського ДНЗ "Дзвіночок"</t>
  </si>
  <si>
    <t>Придбання апарату імпульсної низькочастотної магнітотерапії "Алимп-1" для КНП "Попільнянська лікарня"</t>
  </si>
  <si>
    <t>Придбання секційної огорожі в парк "Слави" у с.Білилівка</t>
  </si>
  <si>
    <t>Ремонт гідроспоруди в с.Городок</t>
  </si>
  <si>
    <t>Придбання секційної декоративної огорожі для Прибережненського ДНЗ "Золота рибка"</t>
  </si>
  <si>
    <t>Придбання газонокосарок для Ружинської дитячо-юнацької спортивної школи</t>
  </si>
  <si>
    <t>Придбання велосипедів для Ружинського територіального центру по обслуговуванню одиноких та пристарілих громадян</t>
  </si>
  <si>
    <r>
      <t xml:space="preserve">Придбання преметів, матеріалів, обладнання, інвентарю </t>
    </r>
    <r>
      <rPr>
        <sz val="14"/>
        <color indexed="10"/>
        <rFont val="Times New Roman"/>
        <family val="1"/>
        <charset val="204"/>
      </rPr>
      <t xml:space="preserve">для </t>
    </r>
    <r>
      <rPr>
        <sz val="14"/>
        <rFont val="Times New Roman"/>
        <family val="1"/>
        <charset val="204"/>
      </rPr>
      <t>Ружинської центральної районної лікарні</t>
    </r>
  </si>
  <si>
    <r>
      <t xml:space="preserve">Придбання медикаментів та перев"язувальних матеріалів </t>
    </r>
    <r>
      <rPr>
        <sz val="14"/>
        <color indexed="10"/>
        <rFont val="Times New Roman"/>
        <family val="1"/>
        <charset val="204"/>
      </rPr>
      <t xml:space="preserve">для </t>
    </r>
    <r>
      <rPr>
        <sz val="14"/>
        <rFont val="Times New Roman"/>
        <family val="1"/>
        <charset val="204"/>
      </rPr>
      <t>Ружинської центральної районної лікарні</t>
    </r>
  </si>
  <si>
    <t>Придбання комп"ютерної техніки для КУ "Центральна районна лікарня" Пулинської районної ради</t>
  </si>
  <si>
    <t>Придбання комп"ютера в комплекті для Черняхівського закладу дошкільної освіти № 1</t>
  </si>
  <si>
    <t>Придбання ноутбука та газонокосилки для Селянщинського закладу дошкільної освіти</t>
  </si>
  <si>
    <t>Придбання  металопластикових віконних конструкцій для Черняхівської ДЮСШ</t>
  </si>
  <si>
    <t>Придбання гітари для початкового спеціалізованого музичного закладу "Черняхівська музична школа"</t>
  </si>
  <si>
    <t>Придбання та встановлення пластикових вікон у ФАПі с.Селянщина КНП "ЦПМСД" Черняхівської районної ради</t>
  </si>
  <si>
    <t>Встановлення вхідних дверей в ФАПі с.Новосілки КНП "ЦПМСД" Черняхівської районної ради</t>
  </si>
  <si>
    <t xml:space="preserve">Придбання світлового сценічного стаціонарного обладнання для Черняхівського Будинку дитячої та юнацької творчості </t>
  </si>
  <si>
    <t>Придбання миючих та дезинфікуючих засобів для навчальних закладів району</t>
  </si>
  <si>
    <t xml:space="preserve">Придбання жалюзів для Очеретянського Будинку культури </t>
  </si>
  <si>
    <t>Придбання та встановлення пластикових вікон для Будинку культури с.Свидя</t>
  </si>
  <si>
    <t>Придбання будівельних  матеріалів для Вакуленчуківського ДНЗ "Берізка"</t>
  </si>
  <si>
    <t>Придбання сантехнічного обладнання для Краснопільського стаціонарного відділення для постійного та тимчасового перебування одиноких громадян Чуднівського територіального центру</t>
  </si>
  <si>
    <t>Придбання подрібнювача гілок та причепу для вивезення відходів для Новоборівської селищної ради</t>
  </si>
  <si>
    <t xml:space="preserve">Придбання спортивного інвентаря для Центру дозвілля у с.Лучин </t>
  </si>
  <si>
    <t>Ремонт спортивного залу Корнинського селищного Будинку культури</t>
  </si>
  <si>
    <t>Капітальний ремонт частини приміщень багатофункціонального центру реабілітації з утепленням фасаду по вул. Звягельська, 66 місто Баранівка Житомирської області (сантехнічні, електромонтажні роботи та ремонт підлоги)</t>
  </si>
  <si>
    <t>Придбання звукової апаратури для відділу культури та туризму Коростишівської міської ради</t>
  </si>
  <si>
    <t>Придбання основних засобів для апарату управління Коростишівської міської ради</t>
  </si>
  <si>
    <t>Придбання оргтехніки для відділу освіти, молоді та спорту Коростишівської міської ради</t>
  </si>
  <si>
    <t>Придбання цифрового мікшерського пульту для Олевського міського Будинку культури</t>
  </si>
  <si>
    <t>Поточний ремонт системи вуличного освітлення в с.Варварівка, вулиць Шкільна, Будівельників, Заводська</t>
  </si>
  <si>
    <t>Придбання вуличного дитячого спортивно-ігрового майданчика для Олевського Центру розвитку дитини №1 "Зірочка"</t>
  </si>
  <si>
    <t>Придбання ноутбука для Музичної школи відділу культури Олевської міської ради</t>
  </si>
  <si>
    <t xml:space="preserve">Придбання оргтехніки для КУ "Олевська центральна лікарня" </t>
  </si>
  <si>
    <t>Придбання офісної та комп"ютерної техніки для КУ "Олевська центральна лікарня"</t>
  </si>
  <si>
    <t>Придбання комп"ютера для КНП "Миропільська амбулаторія ЗПСМ"</t>
  </si>
  <si>
    <t>Придбання шафи для ДНЗ "Чебурашка" смт Попільня</t>
  </si>
  <si>
    <t>Придбання та встановлення стели при в"їзді в с.Строків</t>
  </si>
  <si>
    <t xml:space="preserve">Придбання двох вікон та дверей  для амбулаторії ЗПСМ с.Сокільча КНП "Попільнянський ЦПМСД" </t>
  </si>
  <si>
    <t>Придбання кольорового принтера для  Попільнянської центральної бібліотеки</t>
  </si>
  <si>
    <t xml:space="preserve">Придбання меблів у ФАП с.Макарівка КНП "Попільнянський ЦПМСД" </t>
  </si>
  <si>
    <t>Реконструкція котельні в ДНЗ "Чебурашка" смт Попільня</t>
  </si>
  <si>
    <t>Придбання автотранспортної техніки (бульдозера ДТ-75) для Хорошівської селищної ради</t>
  </si>
  <si>
    <r>
      <t>Придбання о</t>
    </r>
    <r>
      <rPr>
        <sz val="14"/>
        <color indexed="10"/>
        <rFont val="Times New Roman"/>
        <family val="1"/>
        <charset val="204"/>
      </rPr>
      <t>бладнання</t>
    </r>
    <r>
      <rPr>
        <sz val="14"/>
        <rFont val="Times New Roman"/>
        <family val="1"/>
        <charset val="204"/>
      </rPr>
      <t xml:space="preserve"> для дитячих ігрових майданчиків для Хорошівського Центру розвитку дитини "Веселка"</t>
    </r>
  </si>
  <si>
    <r>
      <t>Придбання о</t>
    </r>
    <r>
      <rPr>
        <sz val="14"/>
        <color indexed="10"/>
        <rFont val="Times New Roman"/>
        <family val="1"/>
        <charset val="204"/>
      </rPr>
      <t>бладнання для</t>
    </r>
    <r>
      <rPr>
        <sz val="14"/>
        <rFont val="Times New Roman"/>
        <family val="1"/>
        <charset val="204"/>
      </rPr>
      <t xml:space="preserve"> дитячих ігрових майданчиків для Хорошівського НВК (дошкільний заклад)</t>
    </r>
  </si>
  <si>
    <t>Придбання тренажерів (велотренажера, орбітрека, лавки для пресу) для Квітневої сільської ради</t>
  </si>
  <si>
    <t>Придбання ноутбука для Романівської ЗОШ І-ІІІ ст. ім.М.Рильського</t>
  </si>
  <si>
    <t>Придбання дитячих ліжок та меблів в ДНЗ "Струмочок" в с.Романівка</t>
  </si>
  <si>
    <t>Придбання предметів і матеріалів для проведення поточного ремонту приміщення АЗПСМ №1(діагностичний центр) в м. Овручі</t>
  </si>
  <si>
    <t>Обладнання дитячого майданчика в с.Лукишки</t>
  </si>
  <si>
    <t>Придбання  меблів для АЗПСМ с.Словечно</t>
  </si>
  <si>
    <t>Придбання господарських матеріалів на проведення поточного ремонту для ФАП у с.Тхорин</t>
  </si>
  <si>
    <t>Придбання матеріалів на проведення поточного ремонту для ФАП у с.Листвин</t>
  </si>
  <si>
    <t>Придбання матеріалів на проведення поточного ремонту для ФАП у с.Левковичі</t>
  </si>
  <si>
    <t>Придбання матеріалів на проведення поточного ремонту для ФАП у с.Сирниця</t>
  </si>
  <si>
    <t>Придбання дитячих стільчиків для ДНЗ "Дзвіночок"</t>
  </si>
  <si>
    <t xml:space="preserve">Придбання залізобетонних стовпчиків та секцій огорожі для Будинку культури с.Великі Низгірці </t>
  </si>
  <si>
    <t xml:space="preserve">Облаштування кладовища Степанівського старостинського округу </t>
  </si>
  <si>
    <t xml:space="preserve">Придбання ноутбука для Листвинського ЗДО </t>
  </si>
  <si>
    <t>Поточний ремонт клубу в с.Сирниця</t>
  </si>
  <si>
    <t xml:space="preserve">Придбання дитячого майданчика в с. Пулино-Гута </t>
  </si>
  <si>
    <t>Придбання обладнання для музичного відділу, витратних матеріалів для художнього відділу та сценічних костюмів для хореографічного відділу КПСМНЗ "Пулинська школа мистецтв"</t>
  </si>
  <si>
    <t>Придбання акустичної системи в Чернявський сільський Будинок культури</t>
  </si>
  <si>
    <t>Продовження робіт по вуличному освітленню вулиць Садова, Лесі Українки, Довженка, Богдана Хмельницького, Бориса Тена, М.Рильського та Польової в смт Пулини</t>
  </si>
  <si>
    <t xml:space="preserve">Поточний ремонт сцени КЗ "Центр культури та дозвілля" </t>
  </si>
  <si>
    <t>Придбання мікрофонів  для КЗ "Центр культури та дозвілля Пулинської селищної ради"</t>
  </si>
  <si>
    <t>Придбання м"ячів для проведення спортивних заходів для відділу гуманітарного селищної ради</t>
  </si>
  <si>
    <t>Придбання принтера для Пулинської селищної ради</t>
  </si>
  <si>
    <t>Придбання спортивного інвентарю для КУ "ДЮСШ Пулинської селищної ради"</t>
  </si>
  <si>
    <t>Капітальний ремонт водопровідної мережі та споруд в с.Кошелівка (коригування)</t>
  </si>
  <si>
    <t>Придбання ламп для вуличного освітлення Пулинської селищної ради</t>
  </si>
  <si>
    <t>Придбання холодильника для Чернявського ЗДО "Золоте копитце"</t>
  </si>
  <si>
    <t xml:space="preserve">Придбання та встановлення дитячих ігрових майданчиків в смт Гришківці та в с. Половецьке </t>
  </si>
  <si>
    <t>Придбання та встановлення спортивного обладнання в смт Гришківці</t>
  </si>
  <si>
    <t>Придбання та облаштування дитячих майданчиків в м.Радомишль</t>
  </si>
  <si>
    <t>Придбання комп"ютерного обладнання для Радомишльської ЦРЛ</t>
  </si>
  <si>
    <t xml:space="preserve">Придбання футбольної форми для команди Мірчанського старостинського округу </t>
  </si>
  <si>
    <t>Поточний ремонт фасаду КУ "Радомишльська стоматологічна  поліклініка"</t>
  </si>
  <si>
    <t>Придбання холодильника (10000), проектора (10500), проекційного екрана (4500), дитячих стільців (5000) для Радомишльського закладу дошкільної освіти №5 "Сонечко"</t>
  </si>
  <si>
    <t>Заміна дверей (3000), ремонт холодильника  (3000) для дитячого садка в с.Пилиповичі</t>
  </si>
  <si>
    <t>Придбання товарів та оплата послуг по ремонту фасаду Радомишльського ЗДО №1 "Берізка"</t>
  </si>
  <si>
    <t>Виготовлення проекту "Будівництво водогону у с.Красносілка"</t>
  </si>
  <si>
    <t xml:space="preserve">Придбання медичних сумок для КНЗ "ЦПМСД" </t>
  </si>
  <si>
    <t>Придбання  м"ягкого інвентарю для Любарського закладу дошкільної освіти</t>
  </si>
  <si>
    <t>Поточний ремонт КНП "Чоповицький селищний ЦМСД"</t>
  </si>
  <si>
    <t>Капітальний ремонт будинку культури по вул. Соборна, 17 у с.Райгородок (500,0) та придбання легкового автомобіля (190,0)</t>
  </si>
  <si>
    <t>Капітальний ремонт дитячого відділення КУ "Олевська центральна лікарня" Олевської міської ради згідно проектно-кошторисної документації, а саме: 900 тис.грн -І черга; 600 тис.грн - ІІ черга.</t>
  </si>
  <si>
    <t>на придбання пральної машини для Житомирського ДНЗ №40</t>
  </si>
  <si>
    <t xml:space="preserve">на заміну підлоги в аудиторії №11 для ЗОШ І-ІІІ ст. №21 </t>
  </si>
  <si>
    <t>на придбання проектора та моторизованого екрану для КЗ "Палац культури"</t>
  </si>
  <si>
    <t>на придбання м"якого інвентарю для стаціонару за адресою вул Шевченка, 2 КП "Дитяча лікарня імені В.Й. Башека"</t>
  </si>
  <si>
    <t>на придбання та встановлення металопластикових вікон у під"їздах в місцях загального користування (сходові клітини) у будинках за адресою: проспект Миру №6 та №8 для ПП "КП "Житлово-будівельна компанія №2"</t>
  </si>
  <si>
    <t>на придбання спортивного інвентаря та технічних засобів  у фізкультурну залу для Житомирського ДНЗ №26</t>
  </si>
  <si>
    <t>на придбання комп"ютера для КП "Лікарня №2" Житомирської міської ради</t>
  </si>
  <si>
    <t>на придбання музичної апаратури для Міського культурно-спортивного центру Житомирської міської ради (дитячому ансамблю хореографічних мініатюр "Ніка")</t>
  </si>
  <si>
    <t>на придбання проектора для ДНЗ "Житомирське вище професійне технологічне училище"</t>
  </si>
  <si>
    <t>на придбання меблів для ЗОШ І-ІІІ ст. №26</t>
  </si>
  <si>
    <t>на придбання дитячих меблів для Житомирського ДНЗ №32</t>
  </si>
  <si>
    <t>на ремонт рентгенівських кабінетів для КП "Лікарня №1" Житомирської міської ради (поліклініка №1)</t>
  </si>
  <si>
    <t>на ремонт входів до під"їздів для ОСББ "Леха Качинського, 14"</t>
  </si>
  <si>
    <t>на придбання металевих сміттєвих контейнерів для ОСББ "Проспект миру, 12"</t>
  </si>
  <si>
    <t>на придбання ноутбука для ОСББ "Капучіно"</t>
  </si>
  <si>
    <t>на придбання обладнання для зміцнення, модернізації матеріально-технічної бази з професії "Машиніст холодильних установок; слюсар ремонтник" для ДНЗ "Житомрське вище професійне технологічне училище"</t>
  </si>
  <si>
    <t>на придбання ноутбука для 8-А класу та меблів для Ліцею №25</t>
  </si>
  <si>
    <t>на придбання дитячої постілі для Житомирського ДНЗ №32</t>
  </si>
  <si>
    <t>на придбання та встановлення камер спостереження        для будинків за адресою м. Житомир вул    Кибальчича 10 та вул. Кибальчича 14 для ОСББ "Техносервіс"</t>
  </si>
  <si>
    <t>на придбання поштових скриньок для будинків за адресою м. Житомир вул. Кибальчича 10 та вул. Кибальчича 14 для ОСББ "Техносервіс"</t>
  </si>
  <si>
    <t>на придбання поштових скриньок для будинку за адресою м. Житомир провулок Вокзальний, 12 для ОСББ "Провулок Вокзальний, 12""</t>
  </si>
  <si>
    <t>на придбання та встановлення  LED світильників           з датчиком руху, вимикачів, кабелю на прибудинковій території та у місцях загального користування для будинку за адресою м. Житомир провулок Вокзальний 12 для ОСББ "Провулок Вокзальний, 12"</t>
  </si>
  <si>
    <t>на придбання  матеріалів та на проведення поточного  ремонту системи водовідведення для будинку за адресою м. Житомир вул Князів Острозьких, 131 для ОСББ "Княже 131"</t>
  </si>
  <si>
    <t>на заміну вікон (придбання та встановлення) на металопластикові  на сходових клітинах будинку та проведення поточного ремонту будинку за адресою вул. Лесі Українки, 38 м. Житомир ОСББ "Лесі Українки 38"</t>
  </si>
  <si>
    <t>на заміну підлоги у класній кімнаті 2-Д класу (каб.121) для ЗОШ І-ІІІ ст.№6 ім. В.Г. Короленка</t>
  </si>
  <si>
    <t>на придбання локерів для учнів 1-З класу для ЗОШ І-ІІІ ст.  №5</t>
  </si>
  <si>
    <t>на придбання комп"ютерної та оргтехніки (20000,00), дидактичних ігор та канцелярію (5000,00), будматеріалів та меблів (10000,00) для ЗОШ І-ІІІст. №10</t>
  </si>
  <si>
    <t>на ремонт рентгенівських кабінетів для КП "Лікарня №1" ЖМР поліклініка №1</t>
  </si>
  <si>
    <t>на заміну вікон (придбання та встановлення) на металопластикові на сходових клітинах будинку за адресою вул. Лесі Українки, 38 м. Житомир ОСББ "Лесі Українки 38"</t>
  </si>
  <si>
    <t>на придбання та встановлення металопластикових вікон у середню групу №2 для Житомирського НВК №11</t>
  </si>
  <si>
    <t>на придбання та встановлення металопластикових вікон для Житомирського НВК №11</t>
  </si>
  <si>
    <t>на заміну водогінних труб в технічному підпіллі ДНЗ №15</t>
  </si>
  <si>
    <t>на придбання дитячих шаф для роздягання для ДНЗ №15</t>
  </si>
  <si>
    <t>на придбання ламінату, підложки під ламінат, плінтусів та комплектуючих в музичний зал для Житомирського ДНЗ №6</t>
  </si>
  <si>
    <t>на придбання стінки шафи з 5-ти секцій для ЗОШ І-ІІІ ст. №1 м. Житомир</t>
  </si>
  <si>
    <t>на придбання меблів для 1 класу ЗОШ І-ІІІ ст. №32 м. Житомир</t>
  </si>
  <si>
    <t>на придбання та встановлення дитячого ігрового майданчика на прибудинковій території за адресою вул. Чуднівська 108-Б м. Житомир ОСББ "Чуднівська 108-Б"</t>
  </si>
  <si>
    <t>на придбання обладнання на виставкову діяльність школи (мольбертів-триног, рамок та скла для оформлення робіт) для комунального початкового спеціалізованого мистецького навчального закладу художня школа Житомирської міської ради</t>
  </si>
  <si>
    <t>на придбання телевізора смарт для Житомирського ДНЗ №21</t>
  </si>
  <si>
    <t>на придбання комбінованого підсилювача та комплектуючих до ритм-гітари для КЗ "Палац культури"</t>
  </si>
  <si>
    <t>на придбання мультимедійного  обладнання для Вересівської ЗОШ І-ІІІ ст.</t>
  </si>
  <si>
    <t>на придбання локерів для учнів 1-З класу Житомирської ЗОШ І-ІІІ ст. №5</t>
  </si>
  <si>
    <t>на встановлення елементів благоустрою (лавочок) в дворі житлового будинку за адресою бульвар Новий 7, м. Житомир для ОСББ "Новий бульвар 7"</t>
  </si>
  <si>
    <t xml:space="preserve">на придбання тканини для ДНЗ (ясла-садок) комбінованого типу №4 "Берегиня"                                                           </t>
  </si>
  <si>
    <t>на придбання циркового реквізиту (обладнання)  Зразковому гуртку циркового мистецтва "Жанр" для Центру позашкільної освіти ім. О Разумкова</t>
  </si>
  <si>
    <t>на придбання парафінонагрівача для фізіотерапевтичного відділення для КНП "Бердичівська міська лікарня" Бердичівської міської ради</t>
  </si>
  <si>
    <t>на поточний ремонт санвузла групової кімнати для ДНЗ-ЦРД №7 "Соняшник"</t>
  </si>
  <si>
    <t>на придбання та встановлення каруселі дитячої на прибудинковій території житлового будинку по вул. Чехова, 4 м. Бердичів ОСББ "Оберіг-4"</t>
  </si>
  <si>
    <t>на придбання та встановлення вікон у будинку за адресою вул. 30-річчя Перемоги, 5 м. Бердичів ОСББ "Європа- 5"</t>
  </si>
  <si>
    <t>на придбання та встановлення дитячого ігрового майданчика на прибудинковій території житлового будинку по вул Європейська, 124, м. Бердичів (МК ВЖРЕП №7)</t>
  </si>
  <si>
    <t>на придбання та встановлення дитячого ігрового майданчика на прибудинковій території житлового будинку по вул Мостова 1/2, м. Бердичів ОСББ "Світанок 1/2"</t>
  </si>
  <si>
    <t>на придбання та встановлення дитячого ігрового майданчика на прибудинковій території житлових будинків по вул. Шолом Алейхема, 26, м. Бердичів ОСББ "Магнолія 19-26"</t>
  </si>
  <si>
    <t>на придбання та встановлення дитячого ігрового майданчика на прибудинковій території житлових будинків вул. Одеська 42А, м. Бердичів ОСББ "Золотий ключик 13-15-42"</t>
  </si>
  <si>
    <t>на придбання мультимедійної дошки у кабінет №52 1-Г класу для  ЗОШ І-ІІІ ст. №12 м. Бердичева</t>
  </si>
  <si>
    <t>на придбання та встановлення  дитячого ігрового майданчика на прибудинковій території житлового будинку за адресою вул Європейська,10 м. Бердичів (ПП "Житлоремекс 2")</t>
  </si>
  <si>
    <t>на капітальний ремонт заповнень віконних прорізів в під"їздах житлових будинків по вул. Миру 6,7,8 м. Бердичів (МК ВЖРЕП №7)</t>
  </si>
  <si>
    <t>на придбання телевізора для спеціалізованої ЗОШ І-ІІІ ст. №8 з поглибленим вивченням окремих предметів та курсів м. Бердичева</t>
  </si>
  <si>
    <t>на придбання та встановлення огородження дитячого спортивного майданчика на прибудинковій території житлового будинку за адресою пл. Соборна, 22 м. Бердичів (МК ВЖРЕП №7)</t>
  </si>
  <si>
    <t>на придбання біксів для стоматологічної поліклініки для КНП "Бердичівська міська лікарня" Бердичівської міської ради</t>
  </si>
  <si>
    <t>на придбання обладнання (макулостимулятор (3335), апарат вакуумного масажу офтальмологічний (8625)) для кабінету реабілітації зору відділення реабілітації КНП "Бердичівська міська лікарня" Бердичівської міської ради</t>
  </si>
  <si>
    <t>на поточний ремонт санвузла молодшої "Б" групи ДНЗ-ЦРД №7 "Соняшник"</t>
  </si>
  <si>
    <t>на придбання лінолеуму, будівельних матеріалів для санаторної "Б" групи ДНЗ-ЦРД №7 "Соняшник"</t>
  </si>
  <si>
    <t>на придбання та встановлення дитячого майданчику на прибудинковій території біля будинку за адресою: вул. Вінницька, 25, м. Бердичів для ОСББ "25-й квартал"</t>
  </si>
  <si>
    <t>на придбання газонокосарки  (6200) та будівельних матеріалів (3858) для ОСББ "Троянда -21-С"</t>
  </si>
  <si>
    <t>на придбання розвиваючих матеріалів та пристроїв для проведення реабілітації та ерготерапії для дітей з інвалідністю для Центру комплексної реабілітації для дітей з інвалідністю</t>
  </si>
  <si>
    <t>на придбання принтерів для СЗОШ І-ІІІ ст. №8 з поглибленим вивченням окремих предметів та курсів м. Бердичів</t>
  </si>
  <si>
    <t>на придбання апарату АСО для ДНЗ (ясла-садок) комбінованого типу №16 "Ялинка"</t>
  </si>
  <si>
    <t>на придбання та встановлення дитячого майданчику на прибудинковій території біля будинку за адресою вул Шевченка 25а , м. Бердичів для ОСББ "Соняшник"</t>
  </si>
  <si>
    <t>на придбання спортивного інвентарю для ігрових видів спорту для ОСББ "Криниченька-14"</t>
  </si>
  <si>
    <t>на придбання та встановлення вікон сходинкових клітин під"їздів за адресою вул. Новоіванівська, 19 м. Бердичів  для ОСББ "Водограй -19"</t>
  </si>
  <si>
    <t>на ремонт підлоги (придбання та укладання ламінату в класній кімнаті 3-Б класу для Коростенського НВК "Школа-гімназія №2 імені Володимира Сингаївського"</t>
  </si>
  <si>
    <t>на придбання та встановлення спортивно-ігрового майданчика по вул В. Сосновського, 50, 50-А у м. Коростені</t>
  </si>
  <si>
    <t>на придбання, установку та облаштування вікон для ДНЗ №12</t>
  </si>
  <si>
    <t>на придбання матеріалів та виконання робіт по облаштуванню туалетних кімнат для ДНЗ №10</t>
  </si>
  <si>
    <t>на придбання товарів та матеріалів для проведення ремонтних робіт у офісному приміщенні  громадської організації для ГО "Спілка голів ОСББ "Солідарність"</t>
  </si>
  <si>
    <t>на придбання планшета та обслуговування комп"ютерної та оргтехніки для ГО "Учасники АТО Коростенщини"</t>
  </si>
  <si>
    <t>на придбання дитячого ігрового комплексу за адресою м. Коростень, вул. Маяковського 10 для ОСББ "Маяк 10"</t>
  </si>
  <si>
    <t>на придбання дитячого ігрового комплексу за адресою м. Коростень, вул. Героїв небесної сотні 3-А</t>
  </si>
  <si>
    <t>на придбання дитячого ігрового комплексу по вул. Шевченка 91</t>
  </si>
  <si>
    <t>на придбання туристичного та спортивного інвентаря, продуктів харчування та води, господарських товарів, медичної аптечки, транспортних послуг, поліграфічної продукції для ГО "Учасники АТО Коростенщини"</t>
  </si>
  <si>
    <t xml:space="preserve"> на придбання дитячого ігрового комплексу за адресою вул. Мельника 18, м. Коростень для ОСББ "Мельника 18"</t>
  </si>
  <si>
    <t xml:space="preserve"> на придбання дитячого ігрового комплексу за адресою вул. Пушкінська 8, м. Коростень </t>
  </si>
  <si>
    <t>на придбання меблів та додаткового обладнання для КУ "Інклюзивно-ресурсний центр"</t>
  </si>
  <si>
    <t>на придбання спортивної форми для Ліцею №4</t>
  </si>
  <si>
    <t>на придбання футбольної екіпіровки (тренувальні костюми, спортивні сумки) для футбольного клубу "Звягель"</t>
  </si>
  <si>
    <t>на придбання комп"ютерного обладнання для КУ "Інклюзивно-ресурсний центр"</t>
  </si>
  <si>
    <t>на придбання меблів для КУ "Інклюзивно-ресурсний центр"</t>
  </si>
  <si>
    <t>на капітальний ремонт універсального майданчика для ігрових видів спорту по вул. Соборності, 13 ОСББ "Згода"</t>
  </si>
  <si>
    <t>на придбання музичного центру для ДНЗ №16 "Веселка"</t>
  </si>
  <si>
    <t>на придбання меблів в методичний кабінет ДНЗ №5 м. Малин</t>
  </si>
  <si>
    <t>на придбання спортивного інвентарю для ДНЗ №3 м. Малин</t>
  </si>
  <si>
    <t xml:space="preserve">на ремонт маніпуляційної та кімнати ЕКГ, на придбання кушетки в  ЕКГ кімнату, шафи медичної, фарби, сніжки, заміни вікон на металопластикові для неврологічного відділення Малинського МРТМО </t>
  </si>
  <si>
    <t>на придбання жарової шафи для Центра розвитку дитини "Сонечко"</t>
  </si>
  <si>
    <t>на придбання ігрового комплексу для встановлення в межах прибудинкової території між будинками №12 та №17 вул. Героїв Малинського підпілля</t>
  </si>
  <si>
    <t>на ремонт стелі спортивної зали для Малинської ЗОШ І-ІІІ ст.№4</t>
  </si>
  <si>
    <t>на придбання меблів для історичного кабінету, шкільних історичних карт для Малинської ЗОШ І-ІІІ ст. №3</t>
  </si>
  <si>
    <t>на придбання бойлера, холодильника, розхідних матеріалів для распіраторної терапії (фільтри, маски, шланг), верпом (двохвідерна система для прибирання) для відділення анестезіології та інтенсивної терапії Малинського МРТМО</t>
  </si>
  <si>
    <t>на придбання медичного обладнання (тонометри, глюкометри, сумка медичної сестри) для амбулаторії сімейної медицини с. Скурати</t>
  </si>
  <si>
    <t>на придбання металопластикових вікон для Будинку культури смт Кам"яний Брід</t>
  </si>
  <si>
    <t>на придбання пилососів для Першотравенського ДНЗ "Мрія"</t>
  </si>
  <si>
    <t>на ремонт  покрівлі приміщення Хорошівської ЦРЛ</t>
  </si>
  <si>
    <t>на придбання обладнання та спорядження туристам-краєзнавцям для  КУ Романівської районної ради "Опорний навчальний заклад "Романівська гімназія"</t>
  </si>
  <si>
    <t>на придбання та встановлення дерев"яних дверей у класній кімнаті та спортивному залі для Товщанської філії   КУ Романівської районної ради "Опорний навчальний заклад "Биківська ЗОШ І-ІІІ ст."</t>
  </si>
  <si>
    <t>на придбання сценічного одягу учасникам учнівської художньої самодіяльності для Врублівської ЗОШ І-ІІІ ст.</t>
  </si>
  <si>
    <t>на придбання комбінованої грифельної дошки у класну кімнату 3 класу для Романівської ЗОШ І-ІІІ ст.</t>
  </si>
  <si>
    <t>на придбання проектора учням 3 класу для Вільшанської ЗОШ І-ІІІ ст.</t>
  </si>
  <si>
    <t>на придбання БФП для КУ Романівської районної ради "Районний методичний кабінет закладів сфери освіти"</t>
  </si>
  <si>
    <t>на придбання функціональних ліжок з матрацами в пологове відділення для Романівської ЦРЛ</t>
  </si>
  <si>
    <t>на придбання постільної білизни та матраців відділенню стаціонарного догляду для КУ Терцентр соціального обслуговування (надання соціальних послуг) Романівського району</t>
  </si>
  <si>
    <t>на фінансову підтримку (придбання пристрою по обрізці паперу) для громадської організації "Людей з інвалідністю Глорія" Романівського району"</t>
  </si>
  <si>
    <t>на придбання дитячого ігрового майданчика для Печанівської сільської ради</t>
  </si>
  <si>
    <t>на придбання медичного устаткування в місцевий фельдшерський пункт для Червонохатківської сільської ради</t>
  </si>
  <si>
    <t>на заміну електропроводки та обладнання в Ясногородському сільському клубі</t>
  </si>
  <si>
    <t>на придбання комп"ютерної техніки (ноутбук, принтер) для сільської лікарської амбулаторії с. Романівка</t>
  </si>
  <si>
    <t>на поточний ремонт системи водопостачання у с. Романівка Романівського району Житомирської області</t>
  </si>
  <si>
    <t>на заміну вікон на енергозберігаючі для Гордіївського сільського Будинку культури</t>
  </si>
  <si>
    <t>на придбання більярдного столу в будинок культури Руднє-Іванівської сільської ради</t>
  </si>
  <si>
    <t>на придбання більярдного столу для Яблунецької селищної ради</t>
  </si>
  <si>
    <t>на придбання ноутбука, принтера для ФАП с. Рудня Іванівська КНП ЦПМСД Ємільчинської районної ради</t>
  </si>
  <si>
    <t>на придбання електронних дитячих вагів, умивальника (5000), велосипеду (3000) та поточний ремонт передбудинкової доріжки (10000) для ФАП с. Куліші КНП ЦПМСД Ємільчинської районної ради</t>
  </si>
  <si>
    <t xml:space="preserve"> на встановлення пластикового вікна (3000) та придбання велосипеду (3500) для АЗПСМ с. М. Глумча КНП ЦПМСД Ємільчинської районної ради</t>
  </si>
  <si>
    <t>на придбання електрокардіографа шестиканального для АЗПМС смт Ємільчине КНП ЦПМСД Ємільчинської районної ради</t>
  </si>
  <si>
    <t>на придбання сумок-укладок для лікарів АЗПМС смт Ємільчине КНП ЦПМСД Ємільчинської районної ради</t>
  </si>
  <si>
    <t>на поточний ремонт кабінетів КУ "Ємільчинський центр ПМСД" Ємільчинської районної ради Житомирської області</t>
  </si>
  <si>
    <t>на придбання велосипеда для обслуговування ФП Зеленицької сільської ради</t>
  </si>
  <si>
    <t>на придбання комп"ютерної техніки (персонального комп"ютера) для КНП "Ємільчинська ЦРЛ"</t>
  </si>
  <si>
    <t>на поточний ремонт АЗПСМ смт Яблунець</t>
  </si>
  <si>
    <t>на технічне переоснащення з заміною медико-технологічного обладнання рентгенкабінету поліклініки  КНП "Центральна районна лікарня" Житомирської районної ради по шосе Сквирське, 3 в с. Станишівка Житомирського району</t>
  </si>
  <si>
    <t>на проведення спортивних заходів та змагань для Іванівської сільської ради</t>
  </si>
  <si>
    <t>на придбання та облаштування осередку художньо-творчої діяльності (3120), ширми для лялькового театру (4997), набори ляльок (1800) для Новогуйвинської гімназії</t>
  </si>
  <si>
    <t>на придбання  тренажерного обладнання (45000) та спортивного обладнання (50000) для центру реабілітації молоді із числа військослужбовців, учасників АТО та інвалідів в смт Озерне КУ "Новогуйвинська комплексна дитячо-юнацька спортивна школа" Житомирської районної ради</t>
  </si>
  <si>
    <t>на придбання комп"ютерної техніки для педіатричного кабінету АЗПСМ смт Озерне КНП "Центр первинної медико-санітарної допомоги" Житомирської районної ради</t>
  </si>
  <si>
    <t>на облаштування благоустрою кладовища в с. Сінгури</t>
  </si>
  <si>
    <t>на придбання будівельних матеріалів для ремонту відділення денного стаціонару для КНП "Коростенська центральна районна лікарня Коростенської районної ради"</t>
  </si>
  <si>
    <t>на придбання мультимедійного комплексу для Лісівщинської середньої ЗОШ І-ІІІ ст. імені О. Дубінчука</t>
  </si>
  <si>
    <t>на придбання стола тенісного, столів для армреслінгу, гирь для Шершнівської сільської ради</t>
  </si>
  <si>
    <t>на придбання матеріалів для поточного ремонту приміщення Лісівщинської АЗПСМ №4</t>
  </si>
  <si>
    <t>на придбання штор та гардин для Стремигородської сільської бібліотеки Стремигородської сільської ради</t>
  </si>
  <si>
    <t>на забезпечення оплати харчування, лікарських засобів і виробів медичного призначення учасникам спортивних заходів для футбольної  команди громади с. Новаки у чемпіонаті Коростенського району з футболу в 2019 році</t>
  </si>
  <si>
    <t>на придбання тематичних стендів для Грозинської гімназії</t>
  </si>
  <si>
    <t>на придбання дитячої спортивної форми та спортивного інвентаря для Новаківської сільської ради</t>
  </si>
  <si>
    <t>на капітальні видатки на придбання ігрового комплексу для дітей з обмеженими можливостями для Коростишівського центру комплексної реабілітації дітей з інвалідністю</t>
  </si>
  <si>
    <t>на поточний ремонт адмінприміщення за адресою: м. Коростишів, вул Соборна площа, 18 для Коростишівської районної ради</t>
  </si>
  <si>
    <t>на придбання паливно-мастильних матеріалів  для Коростишівської районної ради</t>
  </si>
  <si>
    <t>на проведення ремонту приміщення  поліклініки та придбання меблів для КНП "ЦПМСД"</t>
  </si>
  <si>
    <t>на  придбання оргтехніки для КНП "ЦПМСД"</t>
  </si>
  <si>
    <t>на Програму забезпечення депутатської діяльності для  проведення конкурсів та нагород районної ради у 2019 році для Лугинської районної ради</t>
  </si>
  <si>
    <t>на придбання насосного агрегату та комплектуючих для КП "Слава"</t>
  </si>
  <si>
    <t>на придбання бетонних плит та стовпів для огорожі сільського кладовища с. Бовсуни</t>
  </si>
  <si>
    <t>на придбання стільців-лавок для шкільної їдальні Старочорторийської ЗОШ І-ІІ ст.</t>
  </si>
  <si>
    <t>на придбання дверей в класні кімнати  для  Вигнанської ЗОШ І-ІІ ст.</t>
  </si>
  <si>
    <t>на придбання плазмового телевізора для кабінету англійської мови Новочорторийської ЗОШ І-ІІІ ст.</t>
  </si>
  <si>
    <t>на придбання ноутбука для  Пединківської ЗОШ І-ІІІ ст.</t>
  </si>
  <si>
    <t>на придбання шкільної дошки для  Пединківської ЗОШ І-ІІІ ст.</t>
  </si>
  <si>
    <t>на придбання шкільної дошки для 4-А класу Стрижівської ЗОШ І-ІІІ ст.</t>
  </si>
  <si>
    <t>на придбання ноутбука для Старочорторийського сільського будинку культури</t>
  </si>
  <si>
    <t>на придбання меблів у методичний кабінет ДНЗ "Дзвіночок" смт Гранітне</t>
  </si>
  <si>
    <t>на  придбання класних дошок та кольорового БФП з безперебійною подачею чорнил для Малинівського НВК "ДНЗ-ЗНЗ І-ІІІ ст."</t>
  </si>
  <si>
    <t>на придбання комп"ютера для КУ "Інклюзивно-ресурсного центру" Малинської районної ради</t>
  </si>
  <si>
    <t>на придбання та встановлення пластикових вікон у Владівському НВК "ДНЗ-ЗНЗ І-ІІ ст"</t>
  </si>
  <si>
    <t>на придбання вхідних дверей для Дубрівської ЗОШ І-ІІ ст.</t>
  </si>
  <si>
    <t>на придбання  футболок і спортивного інвентарю районному дитячо-юнацькому - туристичному краєзнавчому гуртку "Лелеки" для участі в обласних змаганнях юних туристів-краєзнавців</t>
  </si>
  <si>
    <t>на придбання віконних блоків в приміщення Пиріжківського НВК "ДНЗ-ЗНЗ І-ІІІ ст.</t>
  </si>
  <si>
    <t>на придбання спортивної форми для футбольної команди "Урожай" для Українківської сільської ради</t>
  </si>
  <si>
    <t>на встановлення вуличного освітлення  в с. Буки по вул. Козацька для Луківської сільської ради</t>
  </si>
  <si>
    <t>на придбання та встановлення пластикових вікон для Владівського НВК "ДНЗ І-ІІ ст."</t>
  </si>
  <si>
    <t>на придбання глибинного насоса для Киянської ЗОШ І-ІІ ст.</t>
  </si>
  <si>
    <t>на придбання медикаментів та виробів медичного призначення  для ФП сіл (по 2000): Косенів, Киянка, Крайня Деражня, Івашківка, Середня Деражня, Немильня, Дідовичі, Тальки, Борисівка, Барвинівка, Кам"янка, Яворівка, Жолобне, Кам"яний Майдан, Коритище, Миколаївка, Мала Горбаша, Варварівка, Велика Горбаша, Анета, Гірки, Городище, Тернівка, Груд, Колодянка, Кожушки, Калинівка, Повчино, Суховоля, Стрієва, Кануни КНП "ЦПМСД Новоград-Волинського району"</t>
  </si>
  <si>
    <t>на придбання медикаментів та виробів медичного призначення  для амбулаторій сіл (по 2000): Піщів, Токарів, Великий Молодьків, Пилиповичі, Ярунь, Орепи, Кикова, Сусли, Гульськ, Лебедівка КНП "ЦПМСД Новоград-Волинського району"</t>
  </si>
  <si>
    <t>на придбання сумки укладки сімейного лікаря (в наборі) для суслівської АЗПСМ  КНП "ЦПМСД Новоград-Волинського району"</t>
  </si>
  <si>
    <t>на придбання світильників світлодіодних стельових для Гульської АЗПСМ  КНП "ЦПМСД Новоград-Волинського району"</t>
  </si>
  <si>
    <t>на придбання парти-стола з механізмом регулювання  за висотою для дітей з порушеннями опорно рухового апарату для Пилиповецької ЗОШ І-ІІІ ст.</t>
  </si>
  <si>
    <t>на будівництво котельні на твердому паливі та влаштування системи опалення дошкільного навчального закладу по вул. Дитячій, 4 в с. Ярунь  Новоград -Волинського району Житомирської області</t>
  </si>
  <si>
    <t xml:space="preserve">на придбання відсіву на благоустрій вулиць  (підсипка дороги) села Груд Новоград -Волинського району </t>
  </si>
  <si>
    <t>на поповнення книжкового фонду Бігунської сільської бібліотеки</t>
  </si>
  <si>
    <t>на придбання предметів і матеріалів (металопластикові двері)  для ДНЗ №1 смт. Першотравневе</t>
  </si>
  <si>
    <t>на придбання вхідних дверей в дві групи для Ігнатпільського ДНЗ "Струмочок"</t>
  </si>
  <si>
    <t>на придбання сміттєвих баків  для КП "Джерело" Ігнатпільської сільської ради</t>
  </si>
  <si>
    <t>на придбання дитячих майданчиків в с. Прибитки, с. Сорокопень Нововелідницької сільської ради</t>
  </si>
  <si>
    <t>для придбання предметів та матеріалів для огорожі кладовища  с. Левковичі</t>
  </si>
  <si>
    <t>для проведення ремонту водяної скважини  с. Левковичі</t>
  </si>
  <si>
    <t>на придбання стендів для кабінету української літератури для ОНЗ Нововелідницької ЗОШ І-ІІІ ст.</t>
  </si>
  <si>
    <t>на придбання меблів для Гладковицької ЗОШ І-ІІІ ст.</t>
  </si>
  <si>
    <t xml:space="preserve">на придбання меблів (одномісних парт) для  Красилівської філії "ЗОШ І-ІІ ст." ОНЗ "Нововелідницька ЗОШ І-ІІІ ст. </t>
  </si>
  <si>
    <t>на придбання світильників у палати стаціонару для  КНП Попільнянська лікарня</t>
  </si>
  <si>
    <t>на придбання меблів для відкриття структурного підрозділу (аптеки №3 в с. Андрушки ) для Попільнянської ЦРА №58</t>
  </si>
  <si>
    <t>на придбання меблів (книжні шафи, учительський стіл) для класних кімнат для Кам"янської ЗОШ І-ІІ ст.</t>
  </si>
  <si>
    <t>на придбання крісел-каталок для відділень КНП Попільнянська лікарня</t>
  </si>
  <si>
    <t>на придбання предметів, матеріалів, обладнання, інвентарю для Ружинської районної центральної лікарні</t>
  </si>
  <si>
    <t>на придбання комп"ютерів  для Ружинської районної центральної лікарні</t>
  </si>
  <si>
    <t>на поточний ремонт туалетів у Вчорайшенській ЗОШ І-ІІІ ст.</t>
  </si>
  <si>
    <t>на придбання музичної апаратури для Княжиківського будинку культури</t>
  </si>
  <si>
    <t>на придбання піску, відсіву, щебеню, цементу для Прибережненського ДНЗ "Золота рибка"</t>
  </si>
  <si>
    <t>на придбання музичних інструментів та сценічних костюмів для дитячого вокально-інструментального ансамблю Топорівського будинку культури</t>
  </si>
  <si>
    <t>на встановлення вхідних дверей (8000), облаштування водовідведення та відмостки для ФАП с.Карабчиїв  КНП "ЦПМСД" Ружинської районної ради</t>
  </si>
  <si>
    <t>на заміну віконних блоків на енергозберігаючі в ПЗ с. Ягнятин КНП "ЦПМСД" Ружинської районної ради</t>
  </si>
  <si>
    <t>на придбання та встановлення вхідних дверей для Березянської  ЗОШ І-ІІІ ст.</t>
  </si>
  <si>
    <t>на придбання учнівських парт та стільців для Білилівської гімназії</t>
  </si>
  <si>
    <t>на придбання ноутбука для Верхівнянської  ЗОШ І-ІІІ ст.</t>
  </si>
  <si>
    <t>на придбання бензопили для Територіального центру соціального обслуговування Ружинського району</t>
  </si>
  <si>
    <t>на поточний ремонт приміщень протитуберкульозного кабінету для КУ "ЦРЛ Пулинської районної ради"</t>
  </si>
  <si>
    <t>на придбання банкеток в Черняхівську АЗПСМ для КНП "ЦПМСД"</t>
  </si>
  <si>
    <t>на придбання баяна для ПСМНЗ Черняхівська музична школа</t>
  </si>
  <si>
    <t>на придбання шафи жарової  2-камерної для ЗДО №1 смт Черняхів</t>
  </si>
  <si>
    <t>на придбання стільців в будинок культури с. Велика Горбаша</t>
  </si>
  <si>
    <t>на придбання телевізора в шкільну бібліотеку та жалюзі на вікна у приміщення Черняхівської ЗОШ І-ІІІ ст.</t>
  </si>
  <si>
    <t xml:space="preserve">на придбання бойлера в їдальню для Жадьківського колегіуму </t>
  </si>
  <si>
    <t xml:space="preserve">на придбання металопрофілю для Жадьківського колегіуму </t>
  </si>
  <si>
    <t>на придбання  рамок для портрета, грамот, почесних грамот, дипломів та подяк для методичного кабінету відділу освіти Черняхівської РДА</t>
  </si>
  <si>
    <t>на придбання  футбольних, волейбольних та баскетбольних м"ячів для Селецької ЗОШ І-ІІст.</t>
  </si>
  <si>
    <t>на придбання м"ячів футзальних і футбольних, сітки для м"ячів для Салівської ЗОШ І-ІІ ст.</t>
  </si>
  <si>
    <t>на придбання м"ячів футбольних та волейбольних для Дівочківської ЗОШ І-ІІ ст.</t>
  </si>
  <si>
    <t>на придбання медалей, кубків для методичного кабінету відділу освіти Черняхівської РДА</t>
  </si>
  <si>
    <t>на придбання тканини для пошиття сценічних костюмів для Селянщинського спортивного ліцею ім. Олександра Голяченка та Дмитра Литвинчука</t>
  </si>
  <si>
    <t>на придбання  ноутбука для Черняхівського ЗДО №5</t>
  </si>
  <si>
    <t>на придбання автозапчастин для Селянщинського спортивного ліцею ім. Олександра Голяченка та Дмитра Литвинчука</t>
  </si>
  <si>
    <t>на придбання вхідних металевих дверей для спортивної зали в с. Пекарщина</t>
  </si>
  <si>
    <t>на придбання волейбольних та футбольних м"ячів і сітки для їх зберігання для Черняхівської  гімназії</t>
  </si>
  <si>
    <t>на придбання ноутбука та колонок для Черняхівської  гімназії</t>
  </si>
  <si>
    <t>на придбання ноутбука для централізованої бухгалтерії відділу освіти Черняхівської  РДА</t>
  </si>
  <si>
    <t>на придбання стільців в кабінет педагога-організатора для Головинської гімназії</t>
  </si>
  <si>
    <t>на придбання телевізора для Черняхівського ЗДО №4</t>
  </si>
  <si>
    <t>на придбання фарби, вапна, будівельних матеріалів для Селянщинського спортивного ліцею ім. Олександра Голяченка та Дмитра Литвинчука</t>
  </si>
  <si>
    <t>на поточний ремонт котельні для  Бежівської ЗОШ І-ІІ ст. ім. М.П. Дашкевича</t>
  </si>
  <si>
    <t>на придбання тенісних ракеток та тенісних м"ячиків для Жадьківського колегіуму</t>
  </si>
  <si>
    <t>на придбання тенісного стола для Жадьківського колегіуму</t>
  </si>
  <si>
    <t>на придбання акумулятора для шкільного автобуса для Жадьківського колегіуму</t>
  </si>
  <si>
    <t>на придбання іграшок, наочних посібників та дидактичних матеріалів для Жадьківського ЗДО "Сонечко"</t>
  </si>
  <si>
    <t>на придбання фарби для поточного ремонту приміщень для Видиборського ліцею інформаційних технологій</t>
  </si>
  <si>
    <t>на придбання дитячих іграшок для Андріївського ДЗО</t>
  </si>
  <si>
    <t>на придбання тенісного стола для Салівської ЗОШ І-ІІ ст.</t>
  </si>
  <si>
    <t>на придбання ліжок одномісних педіатричному відділенню для Черняхівського ТМО</t>
  </si>
  <si>
    <t>на придбання жалюзі в Очеретянський будинок культури</t>
  </si>
  <si>
    <t>на придбання ноутбука в ФП с. Бурківці для КНП "Чуднівський ЦПМСД" Чуднівської районної ради</t>
  </si>
  <si>
    <t>на заміну дверей в ФП с. Красноволиця та в ФП с. Красногірка для КНП "Чуднівський ЦПМСД" Чуднівської районної ради</t>
  </si>
  <si>
    <t>на заміну вікон в Іванопільській АЗПСМ для КНП "Чуднівський ЦПМСД" Чуднівської районної ради</t>
  </si>
  <si>
    <t>на придбання стільців, медичної кушетки, маніпуляційного столика, умивальника, вішалки для одягу в ФП с. М. Волиця та ФП с. Дібрівка для КНП "Чуднівський ЦПМСД" Чуднівської районної ради</t>
  </si>
  <si>
    <t>на придбання музикальних центрів та м"яких стільців для сільських клубів с. М.Волиця та с. Дібрівка</t>
  </si>
  <si>
    <t>на придбання гардин та карнизів у фойє сільського клубу с.Бурківці</t>
  </si>
  <si>
    <t>на придбання каруселі, балансира, гойдалки, лавочки для Городищенського ДНЗ</t>
  </si>
  <si>
    <t>на придбання спортивного обладнання та інвентаря для футбольних клубів "Вепр" с. Веприн, "Сокіл" с. Межирічка та "Вікторія" с. Вишевичі Вишевицької сільської ради</t>
  </si>
  <si>
    <t>на придбання шкафів для роздягальні для ДНЗ с. Дубрівка</t>
  </si>
  <si>
    <t xml:space="preserve"> на поточний ремонт санвузла для вчителів для  Іршанського НВК "Гімназія- ДНЗ"</t>
  </si>
  <si>
    <t xml:space="preserve"> на  придбання лінолеуму для старших груп Народицького ДНЗ "Сонечко"</t>
  </si>
  <si>
    <t>на придбання вхідних дверей та ремонту географічного кабінету та геологічного музею для Новоборівської гімназії</t>
  </si>
  <si>
    <t>на  придбання наборів дитячої постільної білизни для Новоборівського Центру розвитку дитини "Казка"</t>
  </si>
  <si>
    <t>на придбання прожекторів  (софітів) та контролера для освітлення сцени Новоборівського будинку культури та вуличного танцмайданчика</t>
  </si>
  <si>
    <t>на придбання журнальних столиків для молодіжного HUB Новоборівської селищної ради</t>
  </si>
  <si>
    <t>на придбання програмного забезпечення для Новоборівського ЖКП</t>
  </si>
  <si>
    <t>на придбання та встановлення дверей, придбання листів ДВП для Гацківського сільського клубу</t>
  </si>
  <si>
    <t>на придбання металевої огорожі для благоустрою прибудинкової території для ОСББ "Пролісок" смт. Нова Борова вул. Іршанська 3а.</t>
  </si>
  <si>
    <t>на придбання меблів для дітей молодшої групи для ДНЗ загального типу "Веселка" Потіївської сільської ради</t>
  </si>
  <si>
    <t>на ремонт фасаду закладу та придбання дверей протипожежного виходу для Будинку культури  Потіївської сільської ради с. Потіївка</t>
  </si>
  <si>
    <t>на придбання металопластикових вікон для ФАП с. Облітки</t>
  </si>
  <si>
    <t>на ремонт дороги в с. Буки вул. Квіткова</t>
  </si>
  <si>
    <t>на придбання дошки "Профілактора Євмінова" для Тетерівської ЗОШ І-ІІІ ст.</t>
  </si>
  <si>
    <t>на придбання килимів в ігрові зони ясельної та старшої груп в Корнинський ДНЗ "Струмочок"</t>
  </si>
  <si>
    <t>на придбання пластикових вікон в адміністративне приміщення с. Турбівка</t>
  </si>
  <si>
    <t>на придбання металопластикових вікон в Корнинську філію І-ІІ ст. Корнинського НВК</t>
  </si>
  <si>
    <t>на придбання будівельних матеріалів для ремонту вхідної частини адміністративного будинку в с. Лисівка</t>
  </si>
  <si>
    <t>на придбання комп"ютерної техніки для Баранівської комунальної ЦРЛ</t>
  </si>
  <si>
    <t>на придбання обладнання та предметів довгострокового користування  для Баранівської міської ради</t>
  </si>
  <si>
    <t>на придбання комп"ютерної техніки для структурних підрозділів Баранівської КЦРЛ</t>
  </si>
  <si>
    <t>на придбання жарової шафи для ОНЗ " Баранівська гімназія"</t>
  </si>
  <si>
    <t>на придбання спортивного інвентарю  відділу культури, сім"ї, молоді та спорту для потреб фізкультурно-оздоровчого комплексу  Баранівської міської ради</t>
  </si>
  <si>
    <t>на придбання ноутбуків  для відділу культури, сім"ї, молоді та спорту  Баранівської міської ради</t>
  </si>
  <si>
    <t>на придбання телевізора для Коростишівського НВК "Спеціалізована школа І ступеня-гімназія" імені Олега Ольжича</t>
  </si>
  <si>
    <t>на придбання мультимедійного обладнання для Коростишівської публічної бібліотеки</t>
  </si>
  <si>
    <t>на придбання ноутбука, системного блока, морозильної камери, пральної машини для Коростишівського ЗДО №13</t>
  </si>
  <si>
    <t>на придбання інтерактивної дошки та проектора у кабінет фізики №30 для 6-А класу Коростишівської ЗОШ І-ІІІ ст. №1</t>
  </si>
  <si>
    <t>на придбання комп"ютерної техніки для ЗДО №6</t>
  </si>
  <si>
    <t>на придбання підсилювача звуку для Коростишівського Будинку культури</t>
  </si>
  <si>
    <t>на капітальний ремонт сестринської та палат хірургічного відділення для КУ "Олевська ЦЛ" по пров Промисловому, 2 м. Олевськ Житомирської області</t>
  </si>
  <si>
    <t>на придбання віконних жалюзі для кабінету зарубіжної літератури №10 для Олевської ЗОШ І-ІІІ ст. №2</t>
  </si>
  <si>
    <t>на придбання гімнастичного комплекту, фліпчарта для КУ "Інклюзивно-ресурсний центр"</t>
  </si>
  <si>
    <t>на капітальний ремонт дитячого віділення КУ "Олевська ЦЛ"</t>
  </si>
  <si>
    <t>на придбання шафи витяжної для КУ "Олевська ЦЛ"</t>
  </si>
  <si>
    <t>на придбання апаратно-програмного комплексу для добового моніторування ЕКГ по Холтеру КУ "Олевська ЦЛ"</t>
  </si>
  <si>
    <t>на поточний ремонт приміщення ФАП с. Журжевичі</t>
  </si>
  <si>
    <t>на поточний ремонт для Будинку культури с. Журжевичі</t>
  </si>
  <si>
    <t>на придбання ноутбука для Кишинської ЗОШ І-ІІІ ст.</t>
  </si>
  <si>
    <t>на придбання ноутбука для Сущанського ДНЗ</t>
  </si>
  <si>
    <t>на придбання електростимулятора м"язів для КУ "Олевський міський центр соціальної реабілітації дітей з інвалідністю"</t>
  </si>
  <si>
    <t>на придбання сценічних костюмів для колективу художньої самодіяльності (фольклорний ансамбль "Калина") Кишинського будинку культури</t>
  </si>
  <si>
    <t>на придбання спортивного інвентаря для Жубровицької ЗОШ І-ІІІ ст.</t>
  </si>
  <si>
    <t>на придбання будівельних інструментів для Олевської ЗОШ І-ІІІ ст. №2</t>
  </si>
  <si>
    <t>на придбання обладнання для роботи інтернет мережі для Олевської гімназії</t>
  </si>
  <si>
    <t>на придбання ноутбуків для Покровської ЗОШ  І-ІІІ ст.</t>
  </si>
  <si>
    <t>на придбання принтера для Юрівської ЗОШ І-ІІ ст.</t>
  </si>
  <si>
    <t>на придбання принтера для Новоозерянського НВК</t>
  </si>
  <si>
    <t>на придбання комплекту військової форми для учасників команди дитячо-юнацької військово-патріотичної гри "Сокіл" ("Джура") для Кишинської ЗОШ І-ІІІ ст.</t>
  </si>
  <si>
    <t>на придбання праски (прасувальної системи) для Олевської ЗОШ І-ІІІ ст.№3</t>
  </si>
  <si>
    <t>на придбання музичного обладнання та апаратури  для Будинку культури с. Замисловичі</t>
  </si>
  <si>
    <t>на придбання плазмового телевізора для Олевського ЦРД №2 "Сонечко"</t>
  </si>
  <si>
    <t>на придбання ноутбука (8000) та принтера (5000) для Зольнянського ДНЗ №25 "Чебурашка"</t>
  </si>
  <si>
    <t>на придбання проектора і мультимедійної дошки для Хмелівського ДНЗ №32 "Лісова казка"</t>
  </si>
  <si>
    <t>на придбання принтера для адміністративного приміщення с. Майдан</t>
  </si>
  <si>
    <t>на придбання комплекту жалюзі для робочих кімнат Центру художньо-естетичної творчості учнівської молоді</t>
  </si>
  <si>
    <t>на придбання кольорового принтера для Централізованої бібліотечної системи</t>
  </si>
  <si>
    <t>на придбання сценічного одягу для Будинку культури с. Покровське</t>
  </si>
  <si>
    <t>на придбання дверей для Кам"янського ДНЗ №9</t>
  </si>
  <si>
    <t>на придбання сумок лікаря та неврологічних молоточків (20600), офісних стільців (10000) для КНП "Олевський ЦПМД"</t>
  </si>
  <si>
    <t>на придбання паливно -мастильних матеріалів для Музичної школи Олевської міської ради</t>
  </si>
  <si>
    <t>на придбання шкільної дошки комбінованої для 2-Б класу КОЗНЗ Брусилівська ЗОШ І-ІІІ ст. №1</t>
  </si>
  <si>
    <t>на підтримку спортивних заходів громадської організації "Футбольний клуб "Полісся"</t>
  </si>
  <si>
    <t>на придбання  будівельних матеріалів для проведення ремонту навчального класу та музичних інструментів для Лугинської музичної школи</t>
  </si>
  <si>
    <t>на проведення спортивних заходів у селищній раді</t>
  </si>
  <si>
    <t>на придбання дитячих ліжечок для гімназії ім В.П. Фількова</t>
  </si>
  <si>
    <t>на придбання комп"ютерної техніки для Лугинської селищної ради</t>
  </si>
  <si>
    <t>на придбання музичного та комп"ютерного обладнання для Червоноволоцького ЗЗСО І-ІІІ ст.</t>
  </si>
  <si>
    <t>на придбання навчального обладнання кімнат початкових класів для  КУ Миропільської селищної ради "Опорний навчальний заклад "Миропільська гімназія"</t>
  </si>
  <si>
    <t>на придбання набору кухонних меблів на харчоблок Колодяжненському ЗДО "Веселка"</t>
  </si>
  <si>
    <t>на придбання сповивальних столиків, медичних кушеток, столиків медсестри для КНП  "Миропільська АЗПСМ" Миропільської селищної ради</t>
  </si>
  <si>
    <t>на придбання шафи для Попільнянського ДНЗ "Чебурашка"</t>
  </si>
  <si>
    <t>на придбання меблів для КНП "Попільнянський ЦПМСД"</t>
  </si>
  <si>
    <t>на придбання лазерного кольорового принтера ( три в одному) для Попільнянської ЗОШ І-ІІІ ст. №2</t>
  </si>
  <si>
    <t>на придбання меблів для Попільнянського  ДЗО "Лелека"</t>
  </si>
  <si>
    <t>на придбання енергозберігаючих світильників для класних кімнат та коридорів для Попільнянського ліцею</t>
  </si>
  <si>
    <t>на придбання та встановлення пам"ятника жертвам голодомору 1932-1933 рр.в с. Криве</t>
  </si>
  <si>
    <t>на придбання та встановлення пам"ятника ліквідаторам аварії на ЧАЕС в смт Попільня</t>
  </si>
  <si>
    <t>на придбання комплекту парт у 2-В клас для Попільнянського ліцею</t>
  </si>
  <si>
    <t>на придбання комплекту парт у 3-Г клас для Попільнянського ліцею</t>
  </si>
  <si>
    <t>на придбання шкільної дошки, крісла м"яч (крісла -груша), коврики-пазли, фліпчарту у приміщення 1 класу Новоселицької ЗОШ І-ІІ ст.</t>
  </si>
  <si>
    <t>на придбання насіння газонної трави на футбольне поле с. Сколобів для Сколобівського старостинського округу</t>
  </si>
  <si>
    <t>на придбання водонагрівача електричного для Грушківської ЗОШ І-ІІІ ст.</t>
  </si>
  <si>
    <t>на придбання світильників та пилососа у дошкільне відділення Хорошівського НВК"ДНЗ-ЗНЗ І-ІІІ ст." №1</t>
  </si>
  <si>
    <t>на придбання, встановлення та підключення до електромережі трьохфазного електрокотла в бібліотеку-філіал с. Сколобів Хорошівської ЦБС</t>
  </si>
  <si>
    <t>на благоустрій території біля Хорошівського Будинку культури</t>
  </si>
  <si>
    <t xml:space="preserve"> на придбання та встановлення металопластикових вікон в приміщенні ФП села Катеринівки Радицької сільської ради</t>
  </si>
  <si>
    <t>на придбання музичної апаратури в Давидівський сільський клуб-філіал для Давидівського старостинського округу</t>
  </si>
  <si>
    <t>на придбання та встановлення опалювальних котлів в Краївщинський, Зубринський, Березівський клуби-філіали</t>
  </si>
  <si>
    <t>на відновлення освітлення в с. Суховоля</t>
  </si>
  <si>
    <t>на поточний ремонт тиру в Хорошівській гімназії</t>
  </si>
  <si>
    <t>на придбаня та встановлення металопластикових вікон в приміщенні ФП с. Радичі</t>
  </si>
  <si>
    <t>на придбання будівельних матеріалів для Йосипівського НВК "ДНЗ-ЗНЗ І-ІІ ст "</t>
  </si>
  <si>
    <t>на придбання легкового автомобіля для Чоповицького ЗНВК "Гімназія - ЗНЗ І-ІІІ ст. - ДНЗ"</t>
  </si>
  <si>
    <t>на придбання фарби та господарських товарів для Чоповицького ЗНВК "Гімназія - ЗНЗ І-ІІІ ст. - ДНЗ"</t>
  </si>
  <si>
    <t>на придбання комплектів комп"ютерного обладнання для Йосипівського НВК "ДНЗ-ЗНЗ І-ІІ ст "</t>
  </si>
  <si>
    <t>на придбання комп"ютерного обладнання для КНП "Чоповицький селищний ЦПМСД"</t>
  </si>
  <si>
    <t xml:space="preserve">на придбання більярдного столу для Киянського клубу </t>
  </si>
  <si>
    <t>на придбання матеріалів для огорожі сільського кладовища в с. Бараші</t>
  </si>
  <si>
    <t>на придбання веломашин для медичних працівників ФП с. Ганнопіль та ФАП с. Будо-Бобриця Барашівської ОТГ</t>
  </si>
  <si>
    <t>на придбання дві мотокоси для  Березівського та Будо-Бобрицького старостинських округів</t>
  </si>
  <si>
    <t>на придбання твердопаливного котла для сільського клубу с.Киянка</t>
  </si>
  <si>
    <t>на придбання колонок до комп"ютера, навісних книжкових полиць для Вільської ЗОШ І-ІІІ ст.</t>
  </si>
  <si>
    <t xml:space="preserve">на придбання телевізора та мікшерного пульту для Новопільської ЗОШ І-ІІІ ст. </t>
  </si>
  <si>
    <t>на придбання ноутбука для ЗДО с. Ксаверівка</t>
  </si>
  <si>
    <t xml:space="preserve">на придбання тенісних столів (12240), тенісних ракеток (722) для будинків культури с. Ксаверівка та с. Крученець </t>
  </si>
  <si>
    <t>на придбання музичної апаратури для Горщиківського ліцею</t>
  </si>
  <si>
    <t>на проведення ремонтних робіт (заміна вікон)  для Молочківської ЗОШ І-ІІ ст. Краснопільської сільської ради</t>
  </si>
  <si>
    <t>на придбання снігоприбиральної лопати до трактора для Краснопільської сільської ради</t>
  </si>
  <si>
    <t>на придбання тенісних ракеток та м"ячиків для настільного тенісу, медалей для Краснопільської  ЗОШ І-ІІІ ст.</t>
  </si>
  <si>
    <t>на придбання тенісного стола для Краснопільської  ЗОШ І-ІІІ ст.</t>
  </si>
  <si>
    <t>на придбання комплектів акустичної системи  та стійок мікрофона для  Великоглумчанського старостинського округа</t>
  </si>
  <si>
    <t>на придбання ноутбука для Будинку дитячої творчості</t>
  </si>
  <si>
    <t xml:space="preserve">на придбання шахових годинників для ДЮСШ "Юність" </t>
  </si>
  <si>
    <t>на придбання булер"яна для Мокляківського сільського будинку культури Мокляківському старостинському округу</t>
  </si>
  <si>
    <t>на придбання телевізора для кабінету географії-біології Коваленківської ЗОШ І-ІІ ст.</t>
  </si>
  <si>
    <t>на придбання перекидної магнітної шкільної дошки для кабінету географії Глезненської ЗОШ І-ІІІ ст.</t>
  </si>
  <si>
    <t>на придбання куточка природи для кабінету першого класу для опорної Липненської ЗОШ І-ІІІ ст</t>
  </si>
  <si>
    <t>на придбання меблів для четвертого класу Малобраталівській ЗОШ І-ІІ ст</t>
  </si>
  <si>
    <t>на придбання матеріалів для проведення ремонтних робіт для Великоволицької ЗОШ І-ІІ ст.</t>
  </si>
  <si>
    <t>на придбання шкільних дошок для Березівської ЗОШ І-ІІІ ст.</t>
  </si>
  <si>
    <t>на придбання світильників для класних кімнат для Киріївської ЗОШ І-ІІІ ст.</t>
  </si>
  <si>
    <t>на придбання телевізора з кронштейном для першого класу Коростківського НВК "ЗНЗ І-ІІ ст - ДНЗ"</t>
  </si>
  <si>
    <t>на придбання телевізора в кабінет української мови для  Гринівецького НВК "ЗОНЗ І-ІІ ст - ЗДО"</t>
  </si>
  <si>
    <t>на придбання баяна для Мотовилівського ЗДО (ясла-садок) "Дзвіночок"</t>
  </si>
  <si>
    <t>на придбання будівельних матеріалів для ремонту сцени Кутищенського сільського клубу</t>
  </si>
  <si>
    <t>на придбання меблів для ФП с. Глезне КНП "Любарський ЦПМСД"</t>
  </si>
  <si>
    <t>на придбання бензокоси для ФП с. Борушківці КНП "Любарський ЦПМСД"</t>
  </si>
  <si>
    <t>на придбання медичного апарату"Електрокардіограф 300G" для Новочорторийської АЗПСМ КНП "Любарський ЦПМСД"</t>
  </si>
  <si>
    <t>на поточний ремонт приміщення санвузла Піщівської ЗОШ І-ІІІ ст.  в с. Піщів, Новоград -Волинського району, Житомирської області</t>
  </si>
  <si>
    <t>на придбання предметів і матеріалів для поточного ремонту сільського клубу с. Білка</t>
  </si>
  <si>
    <t>на придбання предметів і матеріалів для сільського клубу с. Сирниця</t>
  </si>
  <si>
    <t>на придбання сміттєвих баків для сіл Городець, Листвин, Кованка, Усове</t>
  </si>
  <si>
    <t>на встановлення меморіальних плит спаленим селам для Словечанської сільської ради</t>
  </si>
  <si>
    <t>на придбання проектора та ноутбука для ОНЗ "Словечанська ЗОШ І-ІІІ ст."</t>
  </si>
  <si>
    <t>на придбання предметів і матеріалів для відділень стаціонару районної лікарні с. Словечне</t>
  </si>
  <si>
    <t>на придбання стендів та жалюзі у кабінет англійської мови для ОНЗ "Словечанська ЗОШ І-ІІІ ст."</t>
  </si>
  <si>
    <t>на придбання навчальних засобів для уроків біології (набори слайдів, мікроскоп), ноутбука для уроків німецької та англійської для Тхоринської ЗОШ І-ІІІст.</t>
  </si>
  <si>
    <t>на придбання бактерицидної  лампи та високотемпературних сухожарових шаф для стоматкабінету районної лікарні с. Словечне</t>
  </si>
  <si>
    <t>на придбання принтера для Сирницької філії "ЗОШ І-ІІ ст." ОНЗ "Словечанська ЗОШ І-ІІІ ст."</t>
  </si>
  <si>
    <t>на придбання меблів для Можарівської ЗОШ І-ІІІ ст.</t>
  </si>
  <si>
    <t>на поточний ремонт коридорів (придбання будматеріалів) в АЗПСМ №1 м. Овруч за адресою вул. Шевченка 41, на облаштування приміщення та придбання меблів для КНП "Овруцький ЦПМСД"</t>
  </si>
  <si>
    <t>на придбання дерматоскопа для поліклінічно-діагностичного відділення КНП "Овруцька міська лікарня"</t>
  </si>
  <si>
    <t>на проведення поточних ремонтів (придбання та заміна вікон, дверей) в структурних підрозділах, придбання госпматеріалів для проведення ремонтів, придбання меблів для КНП "Овруцький ЦПМСД"</t>
  </si>
  <si>
    <t>на проведення передплати періодичних видань (газета "Зоря") та утримання закладу первинної медицини для КНП "Овруцький ЦПМСД"</t>
  </si>
  <si>
    <t>на придбання Led телевізора в кабінет англійської мови для Шоломківської ЗЗСО І-ІІІ ст.</t>
  </si>
  <si>
    <t>на придбання килима, предметів і матеріалів для учнів 1 класу для Покалівської ЗОШ І-ІІІ ст.</t>
  </si>
  <si>
    <t>на придбання ноутбука для художнього колективу "Чарівниця" сільського будинку культури Піщаницького старостинського округу</t>
  </si>
  <si>
    <t>на придбання ноутбука та проектора для Невгодівської філії ОЗО "Овруцька гімназія імені Андрія Малишка"</t>
  </si>
  <si>
    <t>на придбання ноутбука для 3-А класу ОЗО "Овруцький ЗЗСО І-ІІІ ст. №1"</t>
  </si>
  <si>
    <t>на придбання ноутбука, м"ячів, конструкторів Лего для груп продовженого дня для ОЗО "Овруцький ЗЗСО І-ІІІ ст. №1"</t>
  </si>
  <si>
    <t xml:space="preserve"> на придбання меблів для кабінетів для Словечанської АЗПМС</t>
  </si>
  <si>
    <t>на придбання меблів для АЗПСМ с. Словечне КНП "Овруцький ЦПМСД"</t>
  </si>
  <si>
    <t>на придбання матеріалів для поточного ремонту приміщення  АЗПСМ с. Бігунь КНП "Овруцький ЦПМСД"</t>
  </si>
  <si>
    <t>на придбання матеріалів для поточного ремонту ФАП с. Тхорин КНП "Овруцький ЦПМСД"</t>
  </si>
  <si>
    <t>на придбання матеріалів для проведення поточного ремонту для Піщаницького ЗДО</t>
  </si>
  <si>
    <t>на придбання матеріалів для проведення поточного ремонту дитячого відділення  для КНП "Овруцька міська лікарня"</t>
  </si>
  <si>
    <t>на встановлення та облаштування  зупинок по маршруту руху шкільного автобуса, що підвозить дошкільнят, школярів та педагогічних працівників до опорного закладу середньої освіти Курненської ЗОШ І-ІІІ ст.</t>
  </si>
  <si>
    <t>на придбання об"єктів інфраструктури (літні навіси, лавки) та проведення благоустрою новозбудованого міні-поля в ОЗЗСО Курненська ЗОШ І-ІІІ ст.</t>
  </si>
  <si>
    <t>на придбання матеріалів для огорожі кладовища в с. Курне</t>
  </si>
  <si>
    <t>на придбання альтанки в Мартинівський ЗДО "Веселка"</t>
  </si>
  <si>
    <t xml:space="preserve">на придбання меблів для  Новозаводської ЗОШ І-ІІІ ст. </t>
  </si>
  <si>
    <t>на придбання спортивного інвентаря для Мартинівської ЗОШ І-ІІІ ст.(10000), для Новозаводської ЗОШ І-ІІІ ст. (10000) та на придбання спортивної форми футбольній команді "Вимпел" (10000)</t>
  </si>
  <si>
    <t>на придбання магнітно крейдових дошок для Андріївської ЗОШ І-ІІІ ст.</t>
  </si>
  <si>
    <t>на придбання навчально-розвивальних ігор для Соколівського ДНЗ "Сонечко"</t>
  </si>
  <si>
    <t>на завершення будівельно-монтажних робіт по об"єкту "Капітальний ремонт водонапірної башти по вул. Шевченка, 49 в смт Пулини"</t>
  </si>
  <si>
    <t>на придбання набору фабрики друку (ноутбук, принтер, ламінатор) для 1 класу Очеретянської філії ОЗЗСО Пулинської ЗОШ І-ІІІ ст.</t>
  </si>
  <si>
    <t>на придбання шкільної класної дошки, тюнера, флешки та подовжувача для учнів 2-А класу ОЗЗСО Пулинська ЗОШ І-ІІІ ст.</t>
  </si>
  <si>
    <t>на придбання сценічних костюмів для КПСМНЗ "Пулинська школа мистецтв"</t>
  </si>
  <si>
    <t>на придбання тенісного стола та акустичних систем до музичного центру для Пулино-Гутинського будинку культури Пулино -Гутинському старостинському округу</t>
  </si>
  <si>
    <t>на придбання мультимедійного проектора та ноутбука в кабінет української мови та літератури для  ОЗЗСО Пулинська ЗОШ І-ІІІ ст.</t>
  </si>
  <si>
    <t>на придбання мультимедійного проектора та інтерактивної дошки в кабінет інформатики для  ОЗЗСО Пулинська ЗОШ І-ІІІ ст.</t>
  </si>
  <si>
    <t>на поточний ремонт в приміщенні Осичківської медичної амбулаторії за адресою: вул Несенка, 45, с. Осички, Радомишльського району Житомирської області</t>
  </si>
  <si>
    <t>на придбання телевізора для початкової  школи для Заболотської ЗОШ І-ІІІ ст.</t>
  </si>
  <si>
    <t>на придбання  матеріалів для ремонту для Радомишльської  ЗОШ І-ІІІ ст. №3</t>
  </si>
  <si>
    <t>на придбання та встановлення внутрішніх дверей в класних кімнатах для Радомишльського НВК "ЗОШ І-ІІІ ст. №4 - ЗДО" ім. І. Самоплавського</t>
  </si>
  <si>
    <t>на придбання оргтехніки для Великорацького старостинського округу</t>
  </si>
  <si>
    <t>на придбання жалюзі вертикальних для КУ "Інклюзивно-ресурсний центр" Радомишльської міської ради</t>
  </si>
  <si>
    <t>на благоустрій території біля поклонного хреста храму святого Олександра Невського в. Краснобірка  для Краснобірського старостинського округу</t>
  </si>
  <si>
    <t>на придбання тюлі, ковра, коврової доріжки, дитячих книг для ігрової кімнати (7000), фарби для огорожі (5000) для ЗДО "Джерельце" с. Ставки</t>
  </si>
  <si>
    <t>на придбання спортивних матів, столів тенісних, ракеток для настільного тенісу, м"ячів волейбольних, футбольних, баскетбольних для Радомишльського ліцею №1 ім. Т.Г.Шевченка</t>
  </si>
  <si>
    <t>на придбання трьох дитячих майданчиків для проживаючих в мікрорайонах Радомишльської територіальної громади</t>
  </si>
  <si>
    <t>на придбання принтера, ламінатора, ксерокса, інтерактивної дошки з проектором, пробкової дошки для Комунального опорного закладу освіти "Глибочицький ліцей"</t>
  </si>
  <si>
    <t>на придбання художньої літератури для бібліотеки с. Березина</t>
  </si>
  <si>
    <t>на придбання станків для навчальної майстерні для КЗ "Кошарищенська гімназія"</t>
  </si>
  <si>
    <t>на придбання інтерактивного комплекту (дошка, проектор) для КЗ "Студеницький ліцей"</t>
  </si>
  <si>
    <t>на придбання спортивних костюмів для футбольної команди "Енергія" с. Гадзинка</t>
  </si>
  <si>
    <t>на придбання меблів для їдальні КЗ "Гадзинська гімназія"</t>
  </si>
  <si>
    <t>на ремонт і проведення благоустрою хатини в с. Студениця при створенні етнографічного музею "Оберіг Студенної Води"</t>
  </si>
  <si>
    <t>на проведення  інтернету до приміщення початкової школи та на обслуговування комп"ютерної техніки для Тютюнниківської ЗОШ І-ІІІ ст.</t>
  </si>
  <si>
    <t>на придбання бензопил для благоустрою населених пунктів с. Вільшанка, с. Галіївка, с. Бейзимівка, с. Карпівці, с. Троща Вільшанської сільської ради, електропил для Карповецької ЗОШ І-ІІІ ст. та Галіївської ЗОШ І-ІІІ ст.</t>
  </si>
  <si>
    <t>на капітальний ремонт альтанки в смт Гришківці  Гришковецької селищної ради</t>
  </si>
  <si>
    <t>на співфінансування 30% проекту "Реконструкція вуличного освітлення села Бондарівка, Коростенського району Житомирської області"</t>
  </si>
  <si>
    <t>оплату праці педагогічних працівників закладів загальної середньої освіти приватної форми власності</t>
  </si>
  <si>
    <t>придбання обладнання для ресурсних кімнат у закладах загальної середньої освіти (видатки розвитку)</t>
  </si>
  <si>
    <t>Рішення обласної ради від 21.12.2017 №875</t>
  </si>
  <si>
    <t>Рішення обласної ради від 21.11.2017 № 876</t>
  </si>
  <si>
    <t>Рішення обласної ради від 22.12.2016 № 423</t>
  </si>
  <si>
    <t>Рішення обласної ради від 24.12.2015 № 25</t>
  </si>
  <si>
    <t xml:space="preserve">Рішення обласної ради від 21.07.2016 № 285 </t>
  </si>
  <si>
    <t>Рішення обласної ради від 06.04.2017 № 557</t>
  </si>
  <si>
    <t>Обласна програма охорони та збереження культурної спадщини на 2019-2020 роки, рішення обласної ради від 18.12.2018 № 1305</t>
  </si>
  <si>
    <t>Про зарахування коштів до обласного бюджету</t>
  </si>
  <si>
    <t>Рішення обласної ради від 24.12.2015 № 37</t>
  </si>
  <si>
    <t>на придбання речового майна (літній, зимній формений одяг)для особового складу 26 ДПРЧ (смт Романів) для Романівського районного сектору УДСНС у Житомирській області</t>
  </si>
  <si>
    <t>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t>
  </si>
  <si>
    <t>Реконструкція майнового комплексу КЗ "Житомирський  ліцей-інтернат для обдарованих дітей" Житомирської обласної ради  по вул. Коростишівській, 15 в м. Житомирі-улаштування футбольного поля зі штучним покриттям " (проект підготовчих робіт)</t>
  </si>
  <si>
    <t>Будівництво зовнішньої теплової мережі КЗ "Житомирський обласний ліцей-інтернат для обдарованих дітей" Житомирської обласної ради по вул.Коростишівській, 15 в м.Житомирі</t>
  </si>
  <si>
    <t>Реконструкція майнового комплексу КЗ "Житомирський  ліцей-інтернат для обдарованих дітей" Житомирської обласної ради  по вул. Коростишівській, 15 в м. Житомирі-улаштування футбольного поля зі штучним покриттям " (І черга)</t>
  </si>
  <si>
    <t>Реконструкція майнового комплексу КЗ "Житомирський  ліцей-інтернат для обдарованих дітей" Житомирської обласної ради  по вул. Коростишівській, 15 в м. Житомирі-улаштування футбольного поля зі штучним покриттям " (ІІ черга)</t>
  </si>
  <si>
    <t>Будівництво освітніх установ та закладів</t>
  </si>
  <si>
    <t>Заміна віконних блоків в Рейській загальноосвітній школі І-ІІІ ступенів Бердичівської районної ради за адресою: с. Рея, вул.Миру, 16 Бердичівського району Житомирської області . Капітальний ремонт</t>
  </si>
  <si>
    <t>Капітальний ремонт системи опалення ЗОШ І-ІІІ ступенів смт Городниця Новоград-Волинського району, Житомирської області</t>
  </si>
  <si>
    <t>Реконструкція  обласного спеціалізованого центру по наданню допомоги дітям з гострою травмою з встановленням комп’ютерного томографа в КУ  "Житомирська обласна дитяча клінічна лікарня " Житомирської обласної ради за адресою:  с.Станишівка,  Житомирського району, Житомирської області, шосе Сквирське, 6, Житомирського району Житомирської області</t>
  </si>
  <si>
    <t>Будівництво  установ та закладів культури</t>
  </si>
  <si>
    <t>Будівництво музею Олега Ольжича</t>
  </si>
  <si>
    <t>Реконструкція та розширення площі літературно-меморіального музею Лесі Українки по вул.Соборності, 76/2 в м.Новоград-Волинському</t>
  </si>
  <si>
    <t>Реконструкція приміщень Житомирської дитячо-юнацької спортивної школи з боротьби Житомирської обласної ради за адресою: м.Житомир, вул. Київська,106  (коригування)</t>
  </si>
  <si>
    <t>Заміна покриття покрівлі котельні Лугинської ЦРЛ по вул. Червона гірка, 35 в смт Лугини Житомирської області (капітальний ркмонт)</t>
  </si>
  <si>
    <t>Капітальний ремонт зовнішнього освітлення вулиць в с.Копище Олевського району Житомирської області (коригування)</t>
  </si>
  <si>
    <t>Реконструкція вуличного освітлення населених пунктів Любарської селищної ради</t>
  </si>
  <si>
    <t>Технічне переоснащення котельні з переведенням на альтернативні види палива в смт Головине Черняхівського району Житомирської області</t>
  </si>
  <si>
    <t>Капітальний ремонт мереж зовнішнього освітлення в с. Березянка Ружинського району Житомирської області по вулиці Шкільна, вулиці Центральна (права сторона), вулиці Стадіонній</t>
  </si>
  <si>
    <t>Капітальний ремонт мереж зовнішнього освітлення в с. Березянка Ружинського району Житомирської області по вул. Центральна (ліва сторона), вул. Радужна</t>
  </si>
  <si>
    <t>Проектування, реставрація та охорона пам"яток архітектури</t>
  </si>
  <si>
    <t>Ремонтно-реставраційні роботи по Будівлі Житомирського академічного обласного театру ляльок за адресою: вул.Михайлівська,7 в м.Житомирі</t>
  </si>
  <si>
    <t>Ремонтно-реставраційні роботи по будівлі Магістрату КЗ "Житомирський обласний краєзнавчий музей" за адресою: вул. Кафедральна, 3 в м. Житомирі</t>
  </si>
  <si>
    <t>Реконструкція операційного блоку (ургентна операційна і відділення анестезіології та інтенсивної терапії дітей старшого віку) Житомирської обласної дитячої клінічної лікарні  за адресою:Житомирська область,Житомирський район, с.Станишівка,Сквирське шосе, 6</t>
  </si>
  <si>
    <t>Капітальний ремонт будинку фізкультури Житомирської дитячо-юнацької спортивної школи "Авангард" за адресою: вул.Фещенка-Чопівського, 10 в м. Житомирі"</t>
  </si>
  <si>
    <t xml:space="preserve">Реконструкція обласного медичного центру вертебрології і реабілатації за адресою: м. Житомир, вул. Чуднівське шосе, 1 із застосуванням енергозберігаючих технологій (коригування) </t>
  </si>
  <si>
    <t>Реконструкція будівлі Житомирського обласного онкологічного диспансеру по вул. Фещенка-Чопівського 24/4 в Житомирі з прибудовою</t>
  </si>
  <si>
    <t>Реконструкція будівлі Житомирського обласного онкологічного диспансеру по вул. Фещенка-Чопівського 24/4 в Житомирі (термосанація)</t>
  </si>
  <si>
    <t>Центральний стадіон в м. Житомирі. Реконструкція Західної трибуни</t>
  </si>
  <si>
    <t>Незавершений будівництвом дитячий садок, с. Кодня Житомирського району - реконструкція під школу</t>
  </si>
  <si>
    <t>Капітальний ремонт Гранітненської ЗОШ І-ІІІ ст. за адресою: Житомирська область, Малинський район смт Гранітне вул. Чехова 31</t>
  </si>
  <si>
    <t>Коригування  робочого проекту по об"єкту: "Олевська гімназія по вул.Інтернаціональна, 34 в м.Олевськ Житомирської області - будівництво (завершення будівництва)</t>
  </si>
  <si>
    <t>Капітальний ремонт Пулинської ЗОШ І-ІІІ ст. за адресою: смт Пулини вул.Шевченка, 158 Житомирської області (комплексна термосанація) (коригування)</t>
  </si>
  <si>
    <t>Термосанація Любарської гімназії №1</t>
  </si>
  <si>
    <t>Реконструкція частини будівлі ЗОШ №13 під туалет з надбудовою другого поверху по вул. Селезньова, 101 в м.Коростені (коригування кошторисів)</t>
  </si>
  <si>
    <t>Капітальний ремонт вуличного освітлення в населених пунктах: с. Ушомир, с. Березневе, с. Заріччя, с. Ковбащина, с. Пугачівка, с. Рудня-Ушомирська, с. Садибне, с. Сантарка, c. Струмок, с. Гулянка, с. Іванопіль, c. Охотівка, с. Першотравневе, с. Ушиця, селище Броди, селище Нова Ушиця, c. Калинівка, с. Вишневе, с. Красногірка, с. Купище, с. Жабоче, c. Ришавка, Ушомирської сільської ради Коростенського району Житомирської області (коригування )</t>
  </si>
  <si>
    <t>Реконструкція покрівлі з утепленням фасадів Черняхівської гімназії по вул. Червоноармійська, 14 в смт Черняхів Житомирської області (коригування)</t>
  </si>
  <si>
    <t>Реконструкція спорткомплексу "Динамо" за рахунок розбудови за адресою пров.Шкільний,8, м.Радомишль, Радомишльського району, Житомирської області</t>
  </si>
  <si>
    <t>Реконструкція (ефективна термосанація) Миропільської гімназії Романівського району Житомирської області за адресою: смт Миропіль, вул.Центральна,46</t>
  </si>
  <si>
    <t>Капітальний ремонт будівлі (термомодернізація) Гришковецької гімназії Бердичівського району, Житомирської області за адресою: Житомирська область, Бердичівський район, смт Гришківці, вул. Червоний промінь, 3 (коригування)</t>
  </si>
  <si>
    <t>Капітальний ремонт будівлі (термомодернізація) Хажинської загальноосвітньої школи І-ІІІ ступенів Семенівської сільської ради Житомирської області за адресою: Житомирська область, Бердичівський район, с.Хажин, вул. Двірська, 42</t>
  </si>
  <si>
    <t>Реконструкція Новоборівського загальноосвітнього навчального закладу І-ІІІ ступенів-ліцею по вул. Освіти, 7 в смт. Нова Борова, Хорошівського району, Житомирської області</t>
  </si>
  <si>
    <t>Виконання інвестиційних проектів в рамках здійснення заходів щодо соціально-економічного розвитку окремих територій</t>
  </si>
  <si>
    <t>Реконструкція приймального відділення обласної клічної лікарні ім. О.Ф.Гербачевського по вул. Червоного Хреста, 3 в м. Житомирі</t>
  </si>
  <si>
    <t>Реконструкція очисних споруд та зовнішніх мереж каналізації в Райківській виправній колонії №73</t>
  </si>
  <si>
    <t>Рішення обласної ради від 22.12.2016 №418 зі змінами</t>
  </si>
  <si>
    <t>Програма підвищення енергоефективності будівель бюджетних установ та закладів у Житомирській області на 2018-2022 роки</t>
  </si>
  <si>
    <t>Рішення обласної ради від 26.07.2018 № 1135</t>
  </si>
  <si>
    <t>Придбання зупинки для Першотравневої селищної ради</t>
  </si>
  <si>
    <t>на забезпечення функціонування структурних підрозділів Житомирської обласної державної адміністрації</t>
  </si>
  <si>
    <t>на придбання матеріалів, предметів та обладнання для Департаменту фінансів ОДА</t>
  </si>
  <si>
    <t>на придбання металопластикових вікон для службових приміщень для 2-ї ДПРЧ (м. Житомир) УДСНС України у Житомирській області</t>
  </si>
  <si>
    <t>на виконання комплексної програми забезпечення пожежної та техногенної безпеки, захисту населення і територій Житомирської області від надзвичайних ситуацій на 2016 -2020 рр для 21 ДПРЧ (смт Ружин) Ружинського районного сектору УДСНС у Житомирській області</t>
  </si>
  <si>
    <t>на придбання офісних стільців для Управління гуманітарної сфери Малинської РДА</t>
  </si>
  <si>
    <t>на придбання та встановлення віконних блоків для ГУНП у Житомирській області</t>
  </si>
  <si>
    <t>на заміну вікон в УПСЗН Хорошівської РДА</t>
  </si>
  <si>
    <t>на придбання речового майна для  особового складу 25 ДПРЧ (смт Попільня) Попільнянського районного сектору УДСНС у Житомирській області</t>
  </si>
  <si>
    <t>на придбання матеріалів, предметів та обладнання для Департаменті фінансів ОДА</t>
  </si>
  <si>
    <t>на придбання пожежної мотопомпи, бензопили, принтерів для Олевського районного сектору 17 ДПРЧ (м. Олевськ) УДСНС у Житомирській області</t>
  </si>
  <si>
    <t>на придбання стаціонарного комп"ютера для ЖНАЕУ</t>
  </si>
  <si>
    <t>на придбання оргтехніки ( ноутбуків) для управління "Корпусу орперативно-раптової дії" ГУ НПУ в Житомирській області</t>
  </si>
  <si>
    <t xml:space="preserve">Програма організації підготовки фахівців за дуальною формою здобуття освіти в Житомирській області </t>
  </si>
  <si>
    <t>Рішення обласної ради від 18.12.2018 № 1307</t>
  </si>
  <si>
    <t>5.</t>
  </si>
  <si>
    <t>6.</t>
  </si>
  <si>
    <t>на пожежно-технічне обладнання для Управління Державної служби України з надзвичайних ситуацій у Житомирській області</t>
  </si>
  <si>
    <t>на придбання балонів кисневих для  Управління Державної служби України з надзвичайних ситуацій у Житомирській області</t>
  </si>
  <si>
    <t>на придбання ліжок для  Управління Державної служби України з надзвичайних ситуацій у Житомирській області</t>
  </si>
  <si>
    <t>на придбання пожежно-технічного обладнання, паливно-мастильних матеріалів, форменного одягу, деталей для пожежних автомобілів  для Коростишівського районного сектору УДСНС</t>
  </si>
  <si>
    <t>на придбання компресора високого тиску з електричним  приводом для  Чуднівського районного сектору УДСНС</t>
  </si>
  <si>
    <t>на придбання запасних частин та проведення технічного обслуговування патрульних автомобілів для Управління патрульної поліції в Житомирській області</t>
  </si>
  <si>
    <t>на придбання автомобіля для Управління Служби безпеки України в Житомирській області</t>
  </si>
  <si>
    <t>на придбання автомобіля для Головного управління національної поліції в Житомирській області</t>
  </si>
  <si>
    <t>На придбання комп"ютерної техніки для управління агропромислового розвитку Коростенської райдержадміністрації</t>
  </si>
  <si>
    <t>На поточний ремонт спортивного комплексу Державного університету "Житомирська політехніка"</t>
  </si>
  <si>
    <t>7.</t>
  </si>
  <si>
    <t>На проведення обласного конкурсу з комп"ютерних технологій "Infomatrix" для Державного університету "Житомирська політехніка"</t>
  </si>
  <si>
    <t>На покращення матеріально-технічної бази лабораторії з смарт-транспорту і міської логістики Державного університету "Житомирська політехніка"</t>
  </si>
  <si>
    <t>На ремонт приміщень спортивного комплексу Житомирського Державного університету імені Івана Франка</t>
  </si>
  <si>
    <t>06315508000</t>
  </si>
  <si>
    <t>06315511000</t>
  </si>
  <si>
    <t>Капітальний ремонт асфальтобетонного покриття прибудинкових територій житлових будинківза адресою: вул. Князів Острозьких,78</t>
  </si>
  <si>
    <t>Капітальний ремонт асфальтобетонного покриття прибудинкових територій житлових будинківза адресою: вул. Кибальчича, 10</t>
  </si>
  <si>
    <t xml:space="preserve">Поточний ремонт актового залу, придбання одягу сцени та мезаніки сцени для ліцею №25 м.Житомира </t>
  </si>
  <si>
    <t>Придбання предметів, матеріалів для клубу с.Білка</t>
  </si>
  <si>
    <t>на зміцнення матеріально-технічної бази Житомирського прикордонного загону</t>
  </si>
  <si>
    <t>Реконструкція території  благоустрою з організацією скверу  "Музей каменю Житомирщини" в м.Житомирі (в т. ч. виготовлення ПКД )</t>
  </si>
  <si>
    <r>
      <t>Будівництво</t>
    </r>
    <r>
      <rPr>
        <vertAlign val="superscript"/>
        <sz val="12"/>
        <rFont val="Times New Roman"/>
        <family val="1"/>
        <charset val="204"/>
      </rPr>
      <t>1</t>
    </r>
    <r>
      <rPr>
        <sz val="12"/>
        <rFont val="Times New Roman"/>
        <family val="1"/>
        <charset val="204"/>
      </rPr>
      <t xml:space="preserve"> споруд, установ та закладів фізичної культури і спорту</t>
    </r>
  </si>
  <si>
    <t>Амбулаторія на 1-2 лікаря з житлом по вул. Центральна. 42 у с. Борщів Радомишльського району Житомирської області - будівництво</t>
  </si>
  <si>
    <t>Амбулаторія на 1-2 лікаря з житлом по вул. Шкільна, 1 у с. Нові Воробї Малинського району Житомирської області - будівництво</t>
  </si>
  <si>
    <t>Амбулаторія на 1-2 лікаря з житлом по вул. Центральна, 10 у с. Високе Черняхівського району Житомирської області - будівництво</t>
  </si>
  <si>
    <t>Амбулаторія на 1-2 лікаря з житлом по вул. Каштанова, 4-а у с. Гришківці Бердичівського району Житомирської області - будівництво</t>
  </si>
  <si>
    <t>Амбулаторія на 1-2 лікаря з житлом по вул. Миру, 9 у с. Ірша Радомишльського району Житомирської області - будівництво</t>
  </si>
  <si>
    <t>Амбулаторія на 1-2 лікаря з житлом по вул. Першотравнева, 6а у с.Квітневе Попільнянського  району Житомирської області - будівництво</t>
  </si>
  <si>
    <t>Амбулаторія на 1-2 лікаря з житлом по вул. Горького, 17б у смт. Першотравневе Овруцького  району Житомирської області - будівництво</t>
  </si>
  <si>
    <t>Амбулаторія на 1-2 лікаря з житлом по вул. Шевченка, 9 у с. Підлуби Ємільчинського району Житомирської області - будівництво</t>
  </si>
  <si>
    <t>Амбулаторія на 1-2 лікаря з житлом по вул. Шкільна, 3 у с. Піски Житомирського району Житомирської області - будівництво</t>
  </si>
  <si>
    <t>Амбулаторія на 1-2 лікаря з житлом по вул. Шляхова, 55 у с. Покалів Овруцького району Житомирської області - будівництво</t>
  </si>
  <si>
    <t>Амбулаторія на 1-2 лікаря з житлом по вул. Соборна,23 у с. Райгородок Бердичівського району Житомирської області - будівництво</t>
  </si>
  <si>
    <t>Амбулаторія на 1-2 лікаря з житлом по вул. Каштанова, 113 а у с. Семенівка Бердичівського району Житомирської області - будівництво</t>
  </si>
  <si>
    <t>Амбулаторія на 1-2 лікаря з житлом по вул. Шкільна, 5б в с. Сінгури Житомирського району Житомирської області - будівництво</t>
  </si>
  <si>
    <t>Амбулаторія на 1-2 лікаря з житлом по вул. Малікова, 51б у с. Хочине Олевського району Житомирської області - будівництво</t>
  </si>
  <si>
    <t>Амбулаторія на 1-2 лікаря з житлом по вул. Сонячна, 5а у смт. Биківка Романівського  району Житомирської області - будівництво</t>
  </si>
  <si>
    <t>Амбулаторія на 1-2 лікаря з житлом по провулку Медичному, 5 у с. Білилівка Ружинського району Житомирської області - будівництво</t>
  </si>
  <si>
    <t>Амбулаторія на 1-2 лікаря з житлом по вул. Центральна 20а у с. Водотиї Брусилівського району Житомирської області - будівництво</t>
  </si>
  <si>
    <t>Амбулаторія на 1-2 лікаря з житлом по вул. Адмірала Левченка, 137 в с. Дубрівка Баранівського району Житомирської області - будівництво</t>
  </si>
  <si>
    <t>Амбулаторія на 1-2 лікаря з житлом по вул. Центральна. 48 у с. Краснопіль Чуднівського району Житомирської області - будівництво</t>
  </si>
  <si>
    <t>Амбулаторія на 1-2 лікаря з житлом по вул. Зарудня, 30 у с. Липне Любарського району Житомирської області - будівництво</t>
  </si>
  <si>
    <t>Амбулаторія на 1-2 лікаря з житлом по вул. Миру, 1 у с. Соколів Пулинського  району Житомирської області - будівництво</t>
  </si>
  <si>
    <t>Амбулаторія на 1-2 лікаря з житлом в с. Оліївка по вул. Зоряна, 72а (південний схід с. Сонячне) Житомирського району Житомирської області - будівництво</t>
  </si>
  <si>
    <t>Амбулаторія на 1-2 лікаря з житлом по вул. Осівка, 1 б у с. Швайківка Бердичівського  району Житомирської області - будівництво</t>
  </si>
  <si>
    <t>1611110</t>
  </si>
  <si>
    <t>Субвенція з місцевого бюджету на реалізацію заходів, спрямованих на підвищення якості освіти за рахунок відповідної субвенції з державного бюджету</t>
  </si>
  <si>
    <t>Субвенція з місцевого бюджету на реалізацію заходів, спрямованих на підвищення якості освіти за рахунок відповідної субвенції з державного бюджету (видатки розвитку)</t>
  </si>
  <si>
    <t>Бюджет Жолобненської сільської ради Новоград-Волинського району</t>
  </si>
  <si>
    <t>Бюджет Киянської сільської ради Новоград-Волинського району</t>
  </si>
  <si>
    <t>на поточний ремонт у навчальному корпусі факультету ветеринарної медицини вул. Корольова, 39 м. Житомир для  ЖНАЕУ</t>
  </si>
  <si>
    <t>на поточний ремонт  кімнати відпочинку в гуртожитку № 1 для ЖНАЕУ</t>
  </si>
  <si>
    <t>Придбання водонагрівача, холодильника, насоса дренажного для Бігунського ДНЗ</t>
  </si>
  <si>
    <t>Зміцнення матеріально-технічної бази КП Чуднівський спортивно-оздоровчий табір "Корчагінець"</t>
  </si>
  <si>
    <t>на співфінансування пункту тимчасового базування бригад КУ "ЦЕМД та МК" Житомирської обласної ради в смт Іванопіль</t>
  </si>
  <si>
    <t>на співфінансування придбання шкільного автобуса</t>
  </si>
  <si>
    <t>співфінансування придбання шкільного автобуса за програмою "Шкільний автобус"</t>
  </si>
  <si>
    <t>співфінансування на закупівлю шкільних автобусів</t>
  </si>
  <si>
    <t>співфінансування на придбання шкільного автобуса для Горщиківського ліцею Горщиківської ОТГ</t>
  </si>
  <si>
    <t>співфінансування на закупівлю оснащення для кабінету біології закладам загальної середньої освіти</t>
  </si>
  <si>
    <t>співфінансування на придбання комплектів персональних комп"ютерів  для опорних закладів та закладів освіти І-ІІІ ступенів</t>
  </si>
  <si>
    <t>співфінансування на капітальний ремонт Борщівського НВК "ЗОШ І-ІІІ ступенів - ДНЗ" Радомишльського району Житомирської області (за адресою с.Борщів вул.Середня Шкільна, 20)</t>
  </si>
  <si>
    <t>на співфінансування будівництва Білилівської амбулаторії</t>
  </si>
  <si>
    <t>на співфінансування робіт по інвестпроекту "Реконструкція будівлі по вул.Київській, 53 м.Коростишів Житомирської області під приміщення для позашкільного навчального закладу (коригування)"</t>
  </si>
  <si>
    <t>на співфінансування для забезпечення закупівлі персональних комп"ютерів для опорних закладів та закладів освіти І-ІІІ ступенів з кількістю учнів 100 та більше</t>
  </si>
  <si>
    <t>співфінансування на будівництво амбулаторії в с.Підлуби</t>
  </si>
  <si>
    <t>на співфінансування закупівлі оснащення для кабінетів природничо-математичних предметів закладів загальної середньої освіти</t>
  </si>
  <si>
    <t>співфінансування придбання персональних комп"ютерів для опорних закладів та закладів освіти І-ІІІ ступенів</t>
  </si>
  <si>
    <t>співфінансування закупівлі телемедичного обладнання АЗПСМ с.Кишин</t>
  </si>
  <si>
    <t>співфінансування придбання персональних комп"ютерів для Кам"янобрідського ліцею ім.В.Чорновола</t>
  </si>
  <si>
    <t>на співфінансування вартості закупівлі персональних комп"ютерів для опорних закладів освіти</t>
  </si>
  <si>
    <t>на співфінансування закупівлі оснащення кабінету хімії для закладів загальної середньої освіти</t>
  </si>
  <si>
    <t>Бюджет Малинівської сільської ради Малинського району</t>
  </si>
  <si>
    <t>співфінансування реконструкції вуличного освітлення села Юрівка Малинського району Житомирської області</t>
  </si>
  <si>
    <t>співфінансування реконструкції вуличного освітлення села Різня Малинського району Житомирської області</t>
  </si>
  <si>
    <t>співфінансування реконструкції вуличного освітлення села Малинівка Малинського району Житомирської області</t>
  </si>
  <si>
    <t>співфінансування придбання персональних комп"ютерів для опорного навчального закладу</t>
  </si>
  <si>
    <t>реконструкція загальноосвітньої школи І-ІІІ ступенів с.Словечне Овруцького району Житомирської області (коригування)</t>
  </si>
  <si>
    <t>на співфінансування на оснащення для кабінетів природничо-математичних предметів закладів загальної середньої освіти</t>
  </si>
  <si>
    <t xml:space="preserve">на співфінансування проекту "Реконструкція (ефективна термосанація) Червоненського ДНЗ "Калинка" по вул.Терещенка, 3а, смт Червоне Андрушівського району Житомирської області </t>
  </si>
  <si>
    <t>на фінансування проекту "Реконструкція Червоненської ЗОШ І-ІІІ ступенів із застосуванням енергозберігаючих технологій"</t>
  </si>
  <si>
    <t>на закупівлю персональних комп"ютерів</t>
  </si>
  <si>
    <t xml:space="preserve">співфінансування на закупівлю телемедичного обладнання </t>
  </si>
  <si>
    <t>Бюджет Старосільської сільської ради Коростишівського району</t>
  </si>
  <si>
    <t>співфінансування надання медичних послуг із застосуванням телемедицини для АЗПСМ у с.Старосілці, Коростишівський район</t>
  </si>
  <si>
    <t>на співфінансування придбання комп"ютерів</t>
  </si>
  <si>
    <t>співфінансування реконструкції (термомодернізації) Андрушківської загальноосвітньої школи І-ІІІ ступенів по вулиці Шкільна,1 в с.Андрушки Попільнянського району Житомирської області</t>
  </si>
  <si>
    <t>Бюджет Курненської об’єднаної територіальної громади</t>
  </si>
  <si>
    <t>співфінансування телемедичного обладнання</t>
  </si>
  <si>
    <t>на співфінансування 10% комплекту персональних комп"ютерів</t>
  </si>
  <si>
    <t xml:space="preserve">на закупівлю оснащення для кабінету біології </t>
  </si>
  <si>
    <t>Субвенція з державного бюджету місцевим бюджетам на виплату грошової компенсації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</si>
  <si>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r>
      <t xml:space="preserve">Субвенція з державного бюджету місцевим бюджетам на виплату грошової компенсації за належні для отримання жилі приміщення для сімей осіб, визначених у абзаці чотирнадцятому </t>
    </r>
    <r>
      <rPr>
        <sz val="12"/>
        <color indexed="12"/>
        <rFont val="Times New Roman"/>
        <family val="1"/>
        <charset val="204"/>
      </rPr>
      <t>пункту 1 статті 10 Закону України "Про статус ветеранів війни, гарантії їх соціального захисту"</t>
    </r>
    <r>
      <rPr>
        <sz val="12"/>
        <rFont val="Times New Roman"/>
        <family val="1"/>
        <charset val="204"/>
      </rPr>
      <t xml:space="preserve">,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t>
    </r>
    <r>
      <rPr>
        <sz val="12"/>
        <color indexed="12"/>
        <rFont val="Times New Roman"/>
        <family val="1"/>
        <charset val="204"/>
      </rPr>
      <t>пунктом 10 частини другої статті 7 Закону України "Про статус ветеранів війни, гарантії їх соціального захисту"</t>
    </r>
    <r>
      <rPr>
        <sz val="12"/>
        <rFont val="Times New Roman"/>
        <family val="1"/>
        <charset val="204"/>
      </rPr>
      <t>, та які потребують поліпшення житлових умов</t>
    </r>
  </si>
  <si>
    <r>
      <t xml:space="preserve">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t>
    </r>
    <r>
      <rPr>
        <sz val="12"/>
        <color indexed="12"/>
        <rFont val="Times New Roman"/>
        <family val="1"/>
        <charset val="204"/>
      </rPr>
      <t>пункту 1 статті 10 Закону України "Про статус ветеранів війни, гарантії їх соціального захисту"</t>
    </r>
    <r>
      <rPr>
        <sz val="12"/>
        <rFont val="Times New Roman"/>
        <family val="1"/>
        <charset val="204"/>
      </rPr>
      <t xml:space="preserve">,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t>
    </r>
    <r>
      <rPr>
        <sz val="12"/>
        <color indexed="12"/>
        <rFont val="Times New Roman"/>
        <family val="1"/>
        <charset val="204"/>
      </rPr>
      <t>пунктом 7 частини другої статті 7 Закону України "Про статус ветеранів війни, гарантії їх соціального захисту"</t>
    </r>
    <r>
      <rPr>
        <sz val="12"/>
        <rFont val="Times New Roman"/>
        <family val="1"/>
        <charset val="204"/>
      </rPr>
      <t>, та які потребують поліпшення житлових умов</t>
    </r>
  </si>
  <si>
    <r>
      <t xml:space="preserve">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t>
    </r>
    <r>
      <rPr>
        <sz val="12"/>
        <color indexed="12"/>
        <rFont val="Times New Roman"/>
        <family val="1"/>
        <charset val="204"/>
      </rPr>
      <t>пунктів 11 - 14 частини другої статті 7</t>
    </r>
    <r>
      <rPr>
        <sz val="12"/>
        <rFont val="Times New Roman"/>
        <family val="1"/>
        <charset val="204"/>
      </rPr>
      <t xml:space="preserve"> або учасниками бойових дій відповідно до </t>
    </r>
    <r>
      <rPr>
        <sz val="12"/>
        <color indexed="12"/>
        <rFont val="Times New Roman"/>
        <family val="1"/>
        <charset val="204"/>
      </rPr>
      <t>пунктів 19 - 20 частини першої статті 6 Закону України "Про статус ветеранів війни, гарантії їх соціального захисту"</t>
    </r>
    <r>
      <rPr>
        <sz val="12"/>
        <rFont val="Times New Roman"/>
        <family val="1"/>
        <charset val="204"/>
      </rPr>
      <t>, та які потребують поліпшення житлових умов</t>
    </r>
  </si>
  <si>
    <t>Грошова компенсація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</si>
  <si>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місцевого бюджету на виплату грошової компенсації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</si>
  <si>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 xml:space="preserve">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</si>
  <si>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0819244</t>
  </si>
  <si>
    <t>9244</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</si>
  <si>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</si>
  <si>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співфінансування закупівлі телемедичного обладнання для Малинівської амбулаторії</t>
  </si>
  <si>
    <t xml:space="preserve">співфінансування закупівлі телемедичного обладнання </t>
  </si>
  <si>
    <t>співфінансування проекту "Реконструкція незавершеного будівництва під дитячий садок за адресою: вул.Соборна, 30, смт Чоповичі Малинського району Житомирської області"</t>
  </si>
  <si>
    <t>Бюджет міської об’єднаної територіальної громади</t>
  </si>
  <si>
    <t>на співфінансування для закупівлі персональних комп"ютерів для навчальних закладів Новоград-Волинського району (Великомолодьківська, Пилиповицька, Токарівська ЗОШ І-ІІІ ступенів)</t>
  </si>
  <si>
    <t>на співфінансування у розмірі 10% на закупівлю персональних комп"ютерів для навчальних закладів - ОНЗ Миропільська гімназія та Миропільська ЗОШ І-ІІІ ступенів</t>
  </si>
  <si>
    <t>на співфінансування у розмірі 10% на закупівлю телемедичного обладнання для НКП "Миропільська АЗПСМ"</t>
  </si>
  <si>
    <t>співфінансування в розмірі 10% на закупівлю персональних комп"ютерів для Пісківської ЗОШ І-ІІІ ст.</t>
  </si>
  <si>
    <t>співфінансування на закупівлю персональних комп"ютерів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</si>
  <si>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</si>
  <si>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</si>
  <si>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Реконструкція вуличного освітлення села Малинівка, вул.Молодіжна Малинського району Житомирської області</t>
  </si>
  <si>
    <t>Реконструкція вуличного освітлення села Юрівка Малинського району Житомирської області</t>
  </si>
  <si>
    <t>Реконструкція вуличного освітлення села Різня Малинського району Житомирської області</t>
  </si>
  <si>
    <t>Капітальний ремонт "Борщівського НВК "ЗОШ І-ІІІ ступенів - ДНЗ" Радомишльського району Житомирської області (за адресою с. Борщів вул. Середня Шкільна, 20)</t>
  </si>
  <si>
    <t>Реконструкція будівлі  по вул. Київській, 53,  м. Коростишів Житомирської області під  приміщення для позашкільного навчального закладу</t>
  </si>
  <si>
    <t>Реконструкція (термодернізації) Андрушківської загальноосвітньої школи І-ІІІ ступенів по вулиці Шкільна 1, в с.Андрушки Попільнянського району Житомирської області</t>
  </si>
  <si>
    <t>Реконструкція (ефективна термосанація) Червоненського ДНЗ "Калинка" по вул. Терещенка, 3а, смт. Червоне, Андрушівського району, Житомирської області</t>
  </si>
  <si>
    <t>Реконструкція Червоненської загальноосвітньої школи І-ІІІ ст. із застосуванням енергозберігаючих технологій</t>
  </si>
  <si>
    <t>Реконструкція незавершеного будівництва під дитячий садочок за адресою: вул. Соборна, 30, смт. Чоповичі Малинського району Житомирської області</t>
  </si>
  <si>
    <t>співфінансування 10% на закупівлю персональних комп"ютерів для Ушомирської гімназії</t>
  </si>
  <si>
    <t>співфінансування на придбання персональних комп"ютерів для закладів освіти І-ІІІ ступенів з кількістю учнів 100 та більше у Андрушівському районі</t>
  </si>
  <si>
    <t>співфінансування на закупівлю персональних комп"ютерів для опорних закладів та закладів освіти І-ІІІ ступенів з кількістю учнів 100 та більше</t>
  </si>
  <si>
    <t>співфінансування на закупівлю оснащення для кабінетів природничо-математичних предметів для закладів загальної середньої освіти</t>
  </si>
  <si>
    <t>Бюджет Миропільської  селищної  об’єднаної територіальної громади</t>
  </si>
  <si>
    <t xml:space="preserve">Бюджет Ушомирської сільської об’єднаної територіальної громади </t>
  </si>
  <si>
    <t>Бюджет Чоповицької  селищної об’єднаної територіальної громади</t>
  </si>
  <si>
    <t>Реконструкція футбольного поля та території Житомирської обласної школи вищої спортивної майстерності за адресою: Житомирський район, с.Березина,  Станішівське лісництво, квадрат 25, виділ 13, буд.1 (І-ша черга)</t>
  </si>
  <si>
    <t>придбання послуг з доступу до Інтернету закладів загальної середньої освіти (видатки розвитку)</t>
  </si>
  <si>
    <t>Капітальний ремонт території благоустрою з встановленням  дитячого майданчика за адресою: пров.Вацківський,9</t>
  </si>
  <si>
    <t>Капітальний ремонт території благоустрою з встановленням  дитячого майданчика за адресою: вул.Бориса Тена,96</t>
  </si>
  <si>
    <t>Капітальний ремонт території благоустрою з встановленням  дитячого майданчика за адресою: просп. Миру,12</t>
  </si>
  <si>
    <t>Капітальний ремонт території благоустрою з встановленням  дитячого майданчика за адресою: вул. Михайла Грушевського,33</t>
  </si>
  <si>
    <t>Капітальний ремонт території благоустрою з встановленням  дитячого майданчика за адресою: вул.Вітрука,13</t>
  </si>
  <si>
    <t>Капітальний ремонт території благоустрою з встановленням  дитячого майданчика за адресою: вул.Вітрука,55</t>
  </si>
  <si>
    <t>Капітальний ремонт території благоустрою з встановленням  дитячого майданчика за адресою: вул.Гоголівська,73</t>
  </si>
  <si>
    <t>Капітальний ремонт території благоустрою з встановленням  дитячого майданчика за адресою: майдан Мистецькі Ворота,7</t>
  </si>
  <si>
    <t>Капітальний ремонт території благоустрою з встановленням  дитячого майданчика за адресою: проїзд Академіка Тутковського, 12</t>
  </si>
  <si>
    <t>0819250</t>
  </si>
  <si>
    <t xml:space="preserve">Бюджет Івницької сільської ради Андрушівського району </t>
  </si>
  <si>
    <t xml:space="preserve">Бюджет Білківської сільської ради Коростенського району </t>
  </si>
  <si>
    <t xml:space="preserve">Бюджет Веселівської сільської ради Коростенського району </t>
  </si>
  <si>
    <t xml:space="preserve">Бюджет Новинської сільської ради Коростенського району </t>
  </si>
  <si>
    <t xml:space="preserve">Бюджет Стремигородської сільської ради Коростенського району </t>
  </si>
  <si>
    <t>Бюджет Садківської сільської ради Романівського району</t>
  </si>
  <si>
    <t>Бюджет Старочуднівськогутянської  сільської ради Романівського району</t>
  </si>
  <si>
    <t>06320502000</t>
  </si>
  <si>
    <t>06313514000</t>
  </si>
  <si>
    <t>06310516000</t>
  </si>
  <si>
    <t>06301511000</t>
  </si>
  <si>
    <t>06309501000</t>
  </si>
  <si>
    <t>06309525000</t>
  </si>
  <si>
    <t>06309522000</t>
  </si>
  <si>
    <t>06309530000</t>
  </si>
  <si>
    <t>06306516000</t>
  </si>
  <si>
    <t>06306518000</t>
  </si>
  <si>
    <t>Субвенція з державного бюджету місцевим бюджетам на створення оперативно-диспетчерських служб, на реалізацію пілотного проекту щодо розвитку системи екстреної медичної допомоги у Вінницькій, Донецькій, Одеській, Полтавській, Тернопільській областях та м. Києві</t>
  </si>
  <si>
    <t>Передплата періодичного видання "Рідне село" для сільських рад  Коростенського району</t>
  </si>
  <si>
    <t>фінансова підтримка на розвиток фізичної культури і спорту</t>
  </si>
  <si>
    <t>на придбання будівельних матеріалів та душової кабіни для гінекологічного відділення КНП "Бердичівська міська лікарня" Бердичівської міської ради</t>
  </si>
  <si>
    <t xml:space="preserve">на придбання центрифуги медичної лабораторної для центрифугування крові при обстежені на ВІЛ в кабінет "Довіра" міської поліклініки для  КНП "Бердичівська міська лікарня" Бердичівської міської ради </t>
  </si>
  <si>
    <t xml:space="preserve">на придбання та встановлення дитячого ігрового майданчика на прибудинковій території житлового будинку по вул. Шевченка, 36 в м.Бердичеві  (ОСББ "Наш дім-36-Ш") </t>
  </si>
  <si>
    <t>на оплату комплексу робіт з оцінки протипожежного стану для Андрушівської ЗОШ І-ІІІ ст. №1</t>
  </si>
  <si>
    <t>на придбання 7 велосипедів та бензокосилки для ТЦСО (надання соціальних послуг) Андрушівського району</t>
  </si>
  <si>
    <t>на придбання 3 отоофтальмоскопів для КНП "ЦПМСД" Андрушівської районної ради</t>
  </si>
  <si>
    <t>на придбання меблів у пологове відділення для КНП "Попільнянська лікарня"</t>
  </si>
  <si>
    <t>на придбання велосипедів та господарських сумок для соціальних робітників, які обслуговують пенсіонерів, інвалідів та одиноких напрацездатних громадян для ТЦСО (надання соціальних послуг) Ружинського району</t>
  </si>
  <si>
    <t>на проведення ремонту спортивного залу для Корнинського селищного Будинку культури</t>
  </si>
  <si>
    <t>на придбання комп"ютерного устаткування для КУ "ЦСП Попільнянської селищної ради"</t>
  </si>
  <si>
    <t>на придбання спецодягу робітникам, які обслуговують одиноких непрацездатних громадян на дому та інвалідів для КУ "ЦСП Попільнянської селищної ради"</t>
  </si>
  <si>
    <t>на придбання 20 комплектів футбольної форми для учнів Новопільської ЗОШ І-ІІІ ст.</t>
  </si>
  <si>
    <t>на придбання плазмових телевізорів для Вільської ЗОШ І-ІІІ ст.</t>
  </si>
  <si>
    <t>на придбання звукового обладнання (акустична система, мікшерний пульт ) для Ксаверівського Будинку культури</t>
  </si>
  <si>
    <t>на придбання морозильної камери для ОНЗ "Квітнева ЗОШ І-ІІІ ст."</t>
  </si>
  <si>
    <t xml:space="preserve">на придбання промислової електроплити з духовкою для їдальні Почуйківської ЗОШ - філії </t>
  </si>
  <si>
    <t xml:space="preserve">на придбання меблів у кабінет біології та ноутбука для 1 класу Романівській ЗОШ І-ІІІ ст ім. М.Рильського </t>
  </si>
  <si>
    <t xml:space="preserve">на придбання меблів для 1-го класу Єрчицької ЗОШ І-ІІ ст. - філії </t>
  </si>
  <si>
    <t>на придбання меблів для Скаківського ЗДО "Перлинка"</t>
  </si>
  <si>
    <t>на придбання матеріалів  для оновлення та облаштування пам"ятника загиблим воїнам у роки Другої Світової війни для Вербівської  сільської ради</t>
  </si>
  <si>
    <t>проведення спортивних заходів на території Лугинської селищної ради</t>
  </si>
  <si>
    <t>Технічне переоснащення оперативно-диспетчерської служби (ОДС) центру екстреної медичної допомоги та медицини катастроф Житомирської області за адресою: вул. Покровська, 98-В, м. Житомир</t>
  </si>
  <si>
    <t>придбання спеціальних автомобілів, призначених для надання додаткових психолого-педагогічних, корекційно-розвиткових послуг працівниками інклюзивно-ресурсного центру (видатки розвитку)</t>
  </si>
  <si>
    <t xml:space="preserve">Плата за ліцензії на виробництво спирту етилового, коньячного і плодового та зернового дистиляту, біоетанолу, алкогольних напоїв та тютюнових виробів </t>
  </si>
  <si>
    <t xml:space="preserve">від  09.07.2019  № 1502 </t>
  </si>
  <si>
    <t xml:space="preserve">від 09.07.2019  № 1502 </t>
  </si>
  <si>
    <t>від  09.07.2019   № 1502</t>
  </si>
  <si>
    <t>від  09.07.2019  № 1502</t>
  </si>
  <si>
    <t xml:space="preserve">від  09.07.2019   № 1502 </t>
  </si>
  <si>
    <t>від  09.07.2019 № 1502</t>
  </si>
  <si>
    <t>від 09.07.2019  № 1502</t>
  </si>
  <si>
    <t>Програма надання матеріально-технічної  допомоги Житомирському обласному військовому комісаріату та підтримки заходів з територіальної оборони області на 2018-2020роки</t>
  </si>
  <si>
    <t xml:space="preserve">Програма матеріально-технічної допомоги військовим частинам Збройних Сил України, Національної гвардії України та державним військово-навчальним закладам Міністерства оборони України, які дислокуються на території Житомирської област,і на  2018-2020 роки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</si>
</sst>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7" formatCode="_-* #,##0.00_р_._-;\-* #,##0.00_р_._-;_-* &quot;-&quot;??_р_._-;_-@_-"/>
    <numFmt numFmtId="178" formatCode="0.0"/>
    <numFmt numFmtId="179" formatCode="0.000"/>
    <numFmt numFmtId="181" formatCode="#,##0.0"/>
    <numFmt numFmtId="182" formatCode="#,##0.000"/>
    <numFmt numFmtId="185" formatCode="#,##0.00000"/>
    <numFmt numFmtId="186" formatCode="#,##0.000000"/>
    <numFmt numFmtId="200" formatCode="0.0;[Red]0.0"/>
    <numFmt numFmtId="201" formatCode="0.000;[Red]0.000"/>
    <numFmt numFmtId="202" formatCode="0.00;[Red]0.00"/>
  </numFmts>
  <fonts count="197">
    <font>
      <sz val="10"/>
      <name val="Arial Cyr"/>
      <charset val="204"/>
    </font>
    <font>
      <sz val="10"/>
      <name val="Arial Cyr"/>
      <charset val="204"/>
    </font>
    <font>
      <b/>
      <sz val="10"/>
      <name val="Arial Cyr"/>
      <family val="2"/>
      <charset val="204"/>
    </font>
    <font>
      <sz val="10"/>
      <name val="Arial Cyr"/>
      <family val="2"/>
      <charset val="204"/>
    </font>
    <font>
      <sz val="13"/>
      <name val="Arial Cyr"/>
      <family val="2"/>
      <charset val="204"/>
    </font>
    <font>
      <sz val="13"/>
      <name val="Times New Roman"/>
      <family val="1"/>
      <charset val="204"/>
    </font>
    <font>
      <sz val="16"/>
      <name val="Times New Roman"/>
      <family val="1"/>
      <charset val="204"/>
    </font>
    <font>
      <b/>
      <sz val="18"/>
      <name val="Times New Roman"/>
      <family val="1"/>
      <charset val="204"/>
    </font>
    <font>
      <sz val="14"/>
      <name val="Times New Roman"/>
      <family val="1"/>
      <charset val="204"/>
    </font>
    <font>
      <b/>
      <sz val="16"/>
      <name val="Times New Roman"/>
      <family val="1"/>
      <charset val="204"/>
    </font>
    <font>
      <sz val="10"/>
      <name val="Arial"/>
      <family val="2"/>
      <charset val="204"/>
    </font>
    <font>
      <b/>
      <sz val="10"/>
      <name val="Arial Cyr"/>
      <charset val="204"/>
    </font>
    <font>
      <b/>
      <sz val="14"/>
      <name val="Times New Roman"/>
      <family val="1"/>
      <charset val="204"/>
    </font>
    <font>
      <b/>
      <sz val="10"/>
      <name val="Arial"/>
      <family val="2"/>
      <charset val="204"/>
    </font>
    <font>
      <sz val="12"/>
      <name val="Times New Roman"/>
      <family val="1"/>
      <charset val="204"/>
    </font>
    <font>
      <i/>
      <sz val="13"/>
      <name val="Times New Roman"/>
      <family val="1"/>
      <charset val="204"/>
    </font>
    <font>
      <sz val="12"/>
      <name val="Arial Cyr"/>
      <family val="2"/>
      <charset val="204"/>
    </font>
    <font>
      <sz val="12"/>
      <name val="Arial Cyr"/>
      <charset val="204"/>
    </font>
    <font>
      <sz val="14"/>
      <name val="Arial Cyr"/>
      <charset val="204"/>
    </font>
    <font>
      <sz val="10"/>
      <name val="Arial Cyr"/>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4"/>
      <name val="Arial"/>
      <family val="2"/>
      <charset val="204"/>
    </font>
    <font>
      <b/>
      <sz val="14"/>
      <color indexed="8"/>
      <name val="Times New Roman"/>
      <family val="1"/>
      <charset val="204"/>
    </font>
    <font>
      <b/>
      <sz val="14"/>
      <color indexed="8"/>
      <name val="Times New Roman"/>
      <family val="1"/>
    </font>
    <font>
      <b/>
      <i/>
      <sz val="14"/>
      <color indexed="8"/>
      <name val="Times New Roman"/>
      <family val="1"/>
    </font>
    <font>
      <b/>
      <i/>
      <sz val="14"/>
      <name val="Arial Cyr"/>
      <charset val="204"/>
    </font>
    <font>
      <sz val="14"/>
      <color indexed="8"/>
      <name val="Times New Roman"/>
      <family val="1"/>
    </font>
    <font>
      <sz val="13"/>
      <color indexed="8"/>
      <name val="Times New Roman"/>
      <family val="1"/>
    </font>
    <font>
      <sz val="11"/>
      <name val="Times New Roman"/>
      <family val="1"/>
      <charset val="204"/>
    </font>
    <font>
      <b/>
      <sz val="16"/>
      <name val="Arial Cyr"/>
      <family val="2"/>
      <charset val="204"/>
    </font>
    <font>
      <b/>
      <sz val="11"/>
      <name val="Times New Roman"/>
      <family val="1"/>
      <charset val="204"/>
    </font>
    <font>
      <b/>
      <sz val="10"/>
      <name val="Times New Roman"/>
      <family val="1"/>
      <charset val="204"/>
    </font>
    <font>
      <sz val="10"/>
      <color indexed="10"/>
      <name val="Arial Cyr"/>
      <charset val="204"/>
    </font>
    <font>
      <sz val="14"/>
      <color indexed="10"/>
      <name val="Arial Cyr"/>
      <charset val="204"/>
    </font>
    <font>
      <b/>
      <sz val="10"/>
      <color indexed="10"/>
      <name val="Arial Cyr"/>
      <charset val="204"/>
    </font>
    <font>
      <sz val="12"/>
      <color indexed="10"/>
      <name val="Times New Roman"/>
      <family val="1"/>
      <charset val="204"/>
    </font>
    <font>
      <b/>
      <sz val="14"/>
      <color indexed="10"/>
      <name val="Times New Roman"/>
      <family val="1"/>
      <charset val="204"/>
    </font>
    <font>
      <sz val="14"/>
      <color indexed="10"/>
      <name val="Times New Roman"/>
      <family val="1"/>
      <charset val="204"/>
    </font>
    <font>
      <b/>
      <sz val="12"/>
      <name val="Arial Cyr"/>
      <family val="2"/>
      <charset val="204"/>
    </font>
    <font>
      <sz val="14"/>
      <name val="Arial Cyr"/>
      <family val="2"/>
      <charset val="204"/>
    </font>
    <font>
      <sz val="10"/>
      <name val="Arial"/>
      <family val="2"/>
      <charset val="204"/>
    </font>
    <font>
      <sz val="11"/>
      <color indexed="10"/>
      <name val="Times New Roman"/>
      <family val="1"/>
      <charset val="204"/>
    </font>
    <font>
      <sz val="14"/>
      <color indexed="48"/>
      <name val="Times New Roman"/>
      <family val="1"/>
      <charset val="204"/>
    </font>
    <font>
      <sz val="10"/>
      <name val="Helv"/>
      <charset val="204"/>
    </font>
    <font>
      <i/>
      <sz val="10"/>
      <name val="Arial"/>
      <family val="2"/>
      <charset val="204"/>
    </font>
    <font>
      <i/>
      <sz val="10"/>
      <name val="Arial Cyr"/>
      <charset val="204"/>
    </font>
    <font>
      <b/>
      <i/>
      <sz val="10"/>
      <name val="Arial"/>
      <family val="2"/>
      <charset val="204"/>
    </font>
    <font>
      <b/>
      <i/>
      <sz val="10"/>
      <name val="Arial Cyr"/>
      <charset val="204"/>
    </font>
    <font>
      <b/>
      <sz val="12"/>
      <color indexed="8"/>
      <name val="Times New Roman"/>
      <family val="1"/>
      <charset val="204"/>
    </font>
    <font>
      <b/>
      <i/>
      <sz val="12"/>
      <color indexed="8"/>
      <name val="Times New Roman"/>
      <family val="1"/>
      <charset val="204"/>
    </font>
    <font>
      <sz val="10"/>
      <color indexed="8"/>
      <name val="Arial"/>
      <family val="2"/>
      <charset val="204"/>
    </font>
    <font>
      <sz val="14"/>
      <color indexed="40"/>
      <name val="Times New Roman"/>
      <family val="1"/>
      <charset val="204"/>
    </font>
    <font>
      <sz val="14"/>
      <color indexed="18"/>
      <name val="Times New Roman"/>
      <family val="1"/>
      <charset val="204"/>
    </font>
    <font>
      <sz val="18"/>
      <name val="Times New Roman"/>
      <family val="1"/>
      <charset val="204"/>
    </font>
    <font>
      <sz val="14"/>
      <color indexed="8"/>
      <name val="Times New Roman"/>
      <family val="1"/>
      <charset val="204"/>
    </font>
    <font>
      <sz val="14"/>
      <name val="Timeg New Roman"/>
      <family val="1"/>
      <charset val="204"/>
    </font>
    <font>
      <sz val="13.5"/>
      <name val="Times New Roman"/>
      <family val="1"/>
      <charset val="204"/>
    </font>
    <font>
      <b/>
      <i/>
      <sz val="10"/>
      <name val="Arial Cyr"/>
      <family val="2"/>
      <charset val="204"/>
    </font>
    <font>
      <b/>
      <sz val="10"/>
      <color indexed="10"/>
      <name val="Arial Cyr"/>
      <charset val="204"/>
    </font>
    <font>
      <i/>
      <sz val="14"/>
      <name val="Times New Roman"/>
      <family val="1"/>
      <charset val="204"/>
    </font>
    <font>
      <sz val="12"/>
      <color indexed="10"/>
      <name val="Arial Cyr"/>
      <charset val="204"/>
    </font>
    <font>
      <sz val="14"/>
      <color indexed="12"/>
      <name val="Times New Roman"/>
      <family val="1"/>
      <charset val="204"/>
    </font>
    <font>
      <b/>
      <i/>
      <sz val="12"/>
      <color indexed="12"/>
      <name val="Times New Roman"/>
      <family val="1"/>
      <charset val="204"/>
    </font>
    <font>
      <sz val="14"/>
      <color indexed="23"/>
      <name val="Times New Roman"/>
      <family val="1"/>
      <charset val="204"/>
    </font>
    <font>
      <sz val="14"/>
      <color indexed="14"/>
      <name val="Times New Roman"/>
      <family val="1"/>
      <charset val="204"/>
    </font>
    <font>
      <sz val="14"/>
      <color indexed="16"/>
      <name val="Times New Roman"/>
      <family val="1"/>
      <charset val="204"/>
    </font>
    <font>
      <i/>
      <vertAlign val="superscript"/>
      <sz val="12"/>
      <name val="Times New Roman"/>
      <family val="1"/>
      <charset val="204"/>
    </font>
    <font>
      <i/>
      <sz val="10"/>
      <name val="Arial Cyr"/>
      <family val="2"/>
      <charset val="204"/>
    </font>
    <font>
      <i/>
      <sz val="8"/>
      <name val="Times New Roman"/>
      <family val="1"/>
      <charset val="204"/>
    </font>
    <font>
      <i/>
      <vertAlign val="superscript"/>
      <sz val="8"/>
      <name val="Times New Roman"/>
      <family val="1"/>
      <charset val="204"/>
    </font>
    <font>
      <vertAlign val="superscript"/>
      <sz val="12"/>
      <name val="Times New Roman"/>
      <family val="1"/>
      <charset val="204"/>
    </font>
    <font>
      <b/>
      <sz val="14"/>
      <color indexed="12"/>
      <name val="Times New Roman"/>
      <family val="1"/>
      <charset val="204"/>
    </font>
    <font>
      <i/>
      <sz val="14"/>
      <color indexed="36"/>
      <name val="Times New Roman"/>
      <family val="1"/>
      <charset val="204"/>
    </font>
    <font>
      <i/>
      <sz val="11"/>
      <name val="Times New Roman"/>
      <family val="1"/>
      <charset val="204"/>
    </font>
    <font>
      <i/>
      <vertAlign val="superscript"/>
      <sz val="14"/>
      <color indexed="8"/>
      <name val="Times New Roman"/>
      <family val="1"/>
      <charset val="204"/>
    </font>
    <font>
      <i/>
      <sz val="14"/>
      <color indexed="8"/>
      <name val="Times New Roman"/>
      <family val="1"/>
      <charset val="204"/>
    </font>
    <font>
      <vertAlign val="superscript"/>
      <sz val="14"/>
      <name val="Times New Roman"/>
      <family val="1"/>
      <charset val="204"/>
    </font>
    <font>
      <sz val="14"/>
      <color indexed="11"/>
      <name val="Times New Roman"/>
      <family val="1"/>
      <charset val="204"/>
    </font>
    <font>
      <sz val="14"/>
      <color indexed="36"/>
      <name val="Times New Roman"/>
      <family val="1"/>
      <charset val="204"/>
    </font>
    <font>
      <b/>
      <sz val="20"/>
      <name val="Times New Roman"/>
      <family val="1"/>
      <charset val="204"/>
    </font>
    <font>
      <b/>
      <sz val="24"/>
      <name val="Times New Roman"/>
      <family val="1"/>
      <charset val="204"/>
    </font>
    <font>
      <b/>
      <sz val="8"/>
      <name val="Times New Roman"/>
      <family val="1"/>
      <charset val="204"/>
    </font>
    <font>
      <sz val="12"/>
      <color indexed="12"/>
      <name val="Times New Roman"/>
      <family val="1"/>
      <charset val="204"/>
    </font>
    <font>
      <sz val="14"/>
      <color theme="6" tint="-0.499984740745262"/>
      <name val="Times New Roman"/>
      <family val="1"/>
      <charset val="204"/>
    </font>
    <font>
      <sz val="14"/>
      <color rgb="FFFF0000"/>
      <name val="Times New Roman"/>
      <family val="1"/>
      <charset val="204"/>
    </font>
    <font>
      <b/>
      <sz val="14"/>
      <color rgb="FFFF0000"/>
      <name val="Times New Roman"/>
      <family val="1"/>
      <charset val="204"/>
    </font>
    <font>
      <sz val="10"/>
      <color rgb="FFFF0000"/>
      <name val="Arial Cyr"/>
      <charset val="204"/>
    </font>
    <font>
      <sz val="14"/>
      <color rgb="FFFF0000"/>
      <name val="Timeg New Roman"/>
      <family val="1"/>
      <charset val="204"/>
    </font>
    <font>
      <sz val="14"/>
      <color theme="2" tint="-0.749992370372631"/>
      <name val="Times New Roman"/>
      <family val="1"/>
      <charset val="204"/>
    </font>
    <font>
      <sz val="14"/>
      <color rgb="FF666633"/>
      <name val="Times New Roman"/>
      <family val="1"/>
      <charset val="204"/>
    </font>
    <font>
      <sz val="14"/>
      <color rgb="FF00CC00"/>
      <name val="Times New Roman"/>
      <family val="1"/>
      <charset val="204"/>
    </font>
    <font>
      <sz val="14"/>
      <color rgb="FF009900"/>
      <name val="Times New Roman"/>
      <family val="1"/>
      <charset val="204"/>
    </font>
    <font>
      <sz val="12"/>
      <color rgb="FF009900"/>
      <name val="Timeg New Roman"/>
      <family val="1"/>
      <charset val="204"/>
    </font>
    <font>
      <sz val="14"/>
      <color rgb="FF009900"/>
      <name val="Timeg New Roman"/>
      <family val="1"/>
      <charset val="204"/>
    </font>
    <font>
      <sz val="11"/>
      <color theme="1"/>
      <name val="Times New Roman"/>
      <family val="1"/>
      <charset val="204"/>
    </font>
    <font>
      <sz val="10"/>
      <color theme="1"/>
      <name val="Arial Cyr"/>
      <charset val="204"/>
    </font>
    <font>
      <b/>
      <sz val="11"/>
      <color theme="1"/>
      <name val="Times New Roman"/>
      <family val="1"/>
      <charset val="204"/>
    </font>
    <font>
      <b/>
      <sz val="14"/>
      <color theme="1"/>
      <name val="Times New Roman"/>
      <family val="1"/>
      <charset val="204"/>
    </font>
    <font>
      <sz val="14"/>
      <color theme="1"/>
      <name val="Times New Roman"/>
      <family val="1"/>
      <charset val="204"/>
    </font>
    <font>
      <sz val="14"/>
      <color rgb="FF00B0F0"/>
      <name val="Times New Roman"/>
      <family val="1"/>
      <charset val="204"/>
    </font>
    <font>
      <sz val="20"/>
      <color rgb="FFFF0000"/>
      <name val="Arial Cyr"/>
      <charset val="204"/>
    </font>
    <font>
      <sz val="14"/>
      <color rgb="FF7030A0"/>
      <name val="Times New Roman"/>
      <family val="1"/>
      <charset val="204"/>
    </font>
    <font>
      <i/>
      <sz val="14"/>
      <color rgb="FF7030A0"/>
      <name val="Times New Roman"/>
      <family val="1"/>
      <charset val="204"/>
    </font>
    <font>
      <sz val="14"/>
      <color rgb="FF3D10BA"/>
      <name val="Times New Roman"/>
      <family val="1"/>
      <charset val="204"/>
    </font>
    <font>
      <sz val="14"/>
      <color rgb="FF6600FF"/>
      <name val="Times New Roman"/>
      <family val="1"/>
      <charset val="204"/>
    </font>
    <font>
      <sz val="14"/>
      <color rgb="FFC00000"/>
      <name val="Times New Roman"/>
      <family val="1"/>
      <charset val="204"/>
    </font>
    <font>
      <b/>
      <sz val="14"/>
      <color rgb="FFC00000"/>
      <name val="Times New Roman"/>
      <family val="1"/>
      <charset val="204"/>
    </font>
    <font>
      <sz val="14"/>
      <color theme="0" tint="-0.499984740745262"/>
      <name val="Times New Roman"/>
      <family val="1"/>
      <charset val="204"/>
    </font>
    <font>
      <b/>
      <sz val="14"/>
      <color theme="0" tint="-0.499984740745262"/>
      <name val="Times New Roman"/>
      <family val="1"/>
      <charset val="204"/>
    </font>
    <font>
      <sz val="12"/>
      <color rgb="FF666633"/>
      <name val="Times New Roman"/>
      <family val="1"/>
      <charset val="204"/>
    </font>
    <font>
      <sz val="10"/>
      <color rgb="FF009900"/>
      <name val="Arial Cyr"/>
      <charset val="204"/>
    </font>
    <font>
      <b/>
      <sz val="14"/>
      <color rgb="FF009900"/>
      <name val="Times New Roman"/>
      <family val="1"/>
      <charset val="204"/>
    </font>
    <font>
      <sz val="14"/>
      <color rgb="FFFF0000"/>
      <name val="Arial Cyr"/>
      <charset val="204"/>
    </font>
    <font>
      <sz val="14"/>
      <color rgb="FF00B050"/>
      <name val="Times New Roman"/>
      <family val="1"/>
      <charset val="204"/>
    </font>
    <font>
      <sz val="12"/>
      <color rgb="FF00B050"/>
      <name val="Times New Roman"/>
      <family val="1"/>
      <charset val="204"/>
    </font>
    <font>
      <sz val="14"/>
      <color rgb="FF00FF00"/>
      <name val="Times New Roman"/>
      <family val="1"/>
      <charset val="204"/>
    </font>
    <font>
      <b/>
      <sz val="10"/>
      <color rgb="FF00FF00"/>
      <name val="Arial Cyr"/>
      <charset val="204"/>
    </font>
    <font>
      <sz val="12"/>
      <color rgb="FF00CC00"/>
      <name val="Times New Roman"/>
      <family val="1"/>
      <charset val="204"/>
    </font>
    <font>
      <i/>
      <sz val="10"/>
      <color rgb="FF00CC00"/>
      <name val="Arial Cyr"/>
      <charset val="204"/>
    </font>
    <font>
      <b/>
      <sz val="14"/>
      <color rgb="FF00B050"/>
      <name val="Times New Roman"/>
      <family val="1"/>
      <charset val="204"/>
    </font>
    <font>
      <sz val="14"/>
      <color theme="1"/>
      <name val="Calibri"/>
      <family val="2"/>
      <scheme val="minor"/>
    </font>
    <font>
      <sz val="14"/>
      <color rgb="FF00CC00"/>
      <name val="Calibri"/>
      <family val="2"/>
      <scheme val="minor"/>
    </font>
    <font>
      <sz val="12"/>
      <color rgb="FFFF0000"/>
      <name val="Times New Roman"/>
      <family val="1"/>
      <charset val="204"/>
    </font>
    <font>
      <sz val="12"/>
      <color rgb="FFFF0000"/>
      <name val="Arial Cyr"/>
      <charset val="204"/>
    </font>
    <font>
      <sz val="13.5"/>
      <color rgb="FFFF0000"/>
      <name val="Times New Roman"/>
      <family val="1"/>
      <charset val="204"/>
    </font>
    <font>
      <i/>
      <sz val="14"/>
      <color rgb="FF00CC00"/>
      <name val="Times New Roman"/>
      <family val="1"/>
      <charset val="204"/>
    </font>
    <font>
      <i/>
      <sz val="12"/>
      <color rgb="FFFF0000"/>
      <name val="Times New Roman"/>
      <family val="1"/>
      <charset val="204"/>
    </font>
    <font>
      <b/>
      <sz val="12"/>
      <color theme="1"/>
      <name val="Times New Roman"/>
      <family val="1"/>
      <charset val="204"/>
    </font>
    <font>
      <sz val="13"/>
      <color theme="1"/>
      <name val="Arial Cyr"/>
      <family val="2"/>
      <charset val="204"/>
    </font>
    <font>
      <sz val="13"/>
      <color theme="1"/>
      <name val="Times New Roman"/>
      <family val="1"/>
      <charset val="204"/>
    </font>
    <font>
      <sz val="12"/>
      <color theme="1"/>
      <name val="Arial Cyr"/>
      <family val="2"/>
      <charset val="204"/>
    </font>
    <font>
      <b/>
      <sz val="12"/>
      <color theme="1"/>
      <name val="Arial Cyr"/>
      <family val="2"/>
      <charset val="204"/>
    </font>
    <font>
      <sz val="12"/>
      <color theme="1"/>
      <name val="Times New Roman"/>
      <family val="1"/>
      <charset val="204"/>
    </font>
    <font>
      <sz val="12"/>
      <color theme="1"/>
      <name val="Arial Cyr"/>
      <charset val="204"/>
    </font>
    <font>
      <i/>
      <sz val="12"/>
      <color theme="1"/>
      <name val="Times New Roman"/>
      <family val="1"/>
      <charset val="204"/>
    </font>
    <font>
      <i/>
      <sz val="12"/>
      <color theme="1"/>
      <name val="Arial Cyr"/>
      <charset val="204"/>
    </font>
    <font>
      <b/>
      <sz val="12"/>
      <color theme="1"/>
      <name val="Arial Cyr"/>
      <charset val="204"/>
    </font>
    <font>
      <b/>
      <sz val="10"/>
      <color theme="1"/>
      <name val="Arial Cyr"/>
      <family val="2"/>
      <charset val="204"/>
    </font>
    <font>
      <i/>
      <sz val="10"/>
      <color theme="1"/>
      <name val="Arial Cyr"/>
      <charset val="204"/>
    </font>
    <font>
      <b/>
      <sz val="10"/>
      <color theme="1"/>
      <name val="Arial Cyr"/>
      <charset val="204"/>
    </font>
    <font>
      <b/>
      <i/>
      <sz val="10"/>
      <color theme="1"/>
      <name val="Arial Cyr"/>
      <family val="2"/>
      <charset val="204"/>
    </font>
    <font>
      <sz val="10"/>
      <color theme="1"/>
      <name val="Arial Cyr"/>
      <family val="2"/>
      <charset val="204"/>
    </font>
    <font>
      <i/>
      <sz val="10"/>
      <color theme="1"/>
      <name val="Arial Cyr"/>
      <family val="2"/>
      <charset val="204"/>
    </font>
    <font>
      <sz val="14"/>
      <color theme="1"/>
      <name val="Arial"/>
      <family val="2"/>
      <charset val="204"/>
    </font>
    <font>
      <sz val="16"/>
      <color theme="1"/>
      <name val="Times New Roman"/>
      <family val="1"/>
      <charset val="204"/>
    </font>
    <font>
      <i/>
      <sz val="14"/>
      <color theme="1"/>
      <name val="Times New Roman"/>
      <family val="1"/>
      <charset val="204"/>
    </font>
    <font>
      <sz val="13"/>
      <color theme="6" tint="-0.499984740745262"/>
      <name val="Times New Roman"/>
      <family val="1"/>
      <charset val="204"/>
    </font>
    <font>
      <b/>
      <sz val="18"/>
      <color theme="6" tint="-0.499984740745262"/>
      <name val="Times New Roman"/>
      <family val="1"/>
      <charset val="204"/>
    </font>
    <font>
      <sz val="10"/>
      <color theme="6" tint="-0.499984740745262"/>
      <name val="Arial"/>
      <family val="2"/>
      <charset val="204"/>
    </font>
    <font>
      <sz val="10"/>
      <color theme="6" tint="-0.499984740745262"/>
      <name val="Arial Cyr"/>
      <charset val="204"/>
    </font>
    <font>
      <sz val="14"/>
      <color rgb="FF0070C0"/>
      <name val="Times New Roman"/>
      <family val="1"/>
      <charset val="204"/>
    </font>
    <font>
      <b/>
      <sz val="14"/>
      <color rgb="FF0070C0"/>
      <name val="Times New Roman"/>
      <family val="1"/>
      <charset val="204"/>
    </font>
    <font>
      <sz val="12"/>
      <color theme="6" tint="-0.499984740745262"/>
      <name val="Times New Roman"/>
      <family val="1"/>
      <charset val="204"/>
    </font>
    <font>
      <sz val="14"/>
      <color theme="4" tint="-0.249977111117893"/>
      <name val="Times New Roman"/>
      <family val="1"/>
      <charset val="204"/>
    </font>
    <font>
      <sz val="14"/>
      <color theme="9" tint="-0.249977111117893"/>
      <name val="Times New Roman"/>
      <family val="1"/>
      <charset val="204"/>
    </font>
    <font>
      <b/>
      <sz val="14"/>
      <color theme="9" tint="-0.249977111117893"/>
      <name val="Times New Roman"/>
      <family val="1"/>
      <charset val="204"/>
    </font>
    <font>
      <sz val="14"/>
      <color theme="5" tint="-0.249977111117893"/>
      <name val="Times New Roman"/>
      <family val="1"/>
      <charset val="204"/>
    </font>
    <font>
      <b/>
      <sz val="14"/>
      <color theme="5" tint="-0.249977111117893"/>
      <name val="Times New Roman"/>
      <family val="1"/>
      <charset val="204"/>
    </font>
    <font>
      <sz val="10"/>
      <color theme="5" tint="-0.249977111117893"/>
      <name val="Arial"/>
      <family val="2"/>
      <charset val="204"/>
    </font>
    <font>
      <sz val="12"/>
      <color rgb="FF002060"/>
      <name val="Times New Roman"/>
      <family val="1"/>
      <charset val="204"/>
    </font>
    <font>
      <i/>
      <sz val="14"/>
      <color rgb="FF002060"/>
      <name val="Times New Roman"/>
      <family val="1"/>
      <charset val="204"/>
    </font>
    <font>
      <sz val="14"/>
      <color rgb="FF002060"/>
      <name val="Times New Roman"/>
      <family val="1"/>
      <charset val="204"/>
    </font>
    <font>
      <i/>
      <sz val="12"/>
      <color rgb="FF002060"/>
      <name val="Times New Roman"/>
      <family val="1"/>
      <charset val="204"/>
    </font>
    <font>
      <sz val="10"/>
      <color theme="2" tint="-0.499984740745262"/>
      <name val="Arial Cyr"/>
      <charset val="204"/>
    </font>
    <font>
      <sz val="10"/>
      <color theme="0" tint="-0.34998626667073579"/>
      <name val="Arial"/>
      <family val="2"/>
      <charset val="204"/>
    </font>
    <font>
      <i/>
      <sz val="10"/>
      <color theme="0" tint="-0.34998626667073579"/>
      <name val="Arial"/>
      <family val="2"/>
      <charset val="204"/>
    </font>
    <font>
      <b/>
      <i/>
      <sz val="10"/>
      <color theme="0" tint="-0.34998626667073579"/>
      <name val="Arial"/>
      <family val="2"/>
      <charset val="204"/>
    </font>
    <font>
      <b/>
      <sz val="10"/>
      <color theme="0" tint="-0.34998626667073579"/>
      <name val="Arial"/>
      <family val="2"/>
      <charset val="204"/>
    </font>
    <font>
      <sz val="14"/>
      <color theme="0" tint="-0.34998626667073579"/>
      <name val="Times New Roman"/>
      <family val="1"/>
      <charset val="204"/>
    </font>
    <font>
      <b/>
      <sz val="14"/>
      <color theme="0" tint="-0.34998626667073579"/>
      <name val="Times New Roman"/>
      <family val="1"/>
      <charset val="204"/>
    </font>
    <font>
      <sz val="10"/>
      <color theme="0" tint="-0.34998626667073579"/>
      <name val="Arial Cyr"/>
      <charset val="204"/>
    </font>
    <font>
      <b/>
      <sz val="12"/>
      <color theme="0" tint="-0.34998626667073579"/>
      <name val="Arial Cyr"/>
      <family val="2"/>
      <charset val="204"/>
    </font>
    <font>
      <sz val="12"/>
      <color theme="0" tint="-0.34998626667073579"/>
      <name val="Arial Cyr"/>
      <charset val="204"/>
    </font>
    <font>
      <i/>
      <sz val="12"/>
      <color theme="0" tint="-0.34998626667073579"/>
      <name val="Arial Cyr"/>
      <charset val="204"/>
    </font>
    <font>
      <b/>
      <sz val="10"/>
      <color theme="0" tint="-0.34998626667073579"/>
      <name val="Arial Cyr"/>
      <family val="2"/>
      <charset val="204"/>
    </font>
    <font>
      <i/>
      <sz val="10"/>
      <color theme="0" tint="-0.34998626667073579"/>
      <name val="Arial Cyr"/>
      <charset val="204"/>
    </font>
    <font>
      <b/>
      <sz val="12"/>
      <color theme="0" tint="-0.34998626667073579"/>
      <name val="Arial Cyr"/>
      <charset val="204"/>
    </font>
    <font>
      <b/>
      <sz val="10"/>
      <color theme="0" tint="-0.34998626667073579"/>
      <name val="Arial Cyr"/>
      <charset val="204"/>
    </font>
    <font>
      <i/>
      <sz val="10"/>
      <color theme="0" tint="-0.34998626667073579"/>
      <name val="Arial Cyr"/>
      <family val="2"/>
      <charset val="204"/>
    </font>
    <font>
      <b/>
      <i/>
      <sz val="10"/>
      <color theme="0" tint="-0.34998626667073579"/>
      <name val="Arial Cyr"/>
      <family val="2"/>
      <charset val="204"/>
    </font>
    <font>
      <sz val="10"/>
      <color theme="0" tint="-0.34998626667073579"/>
      <name val="Arial Cyr"/>
      <family val="2"/>
      <charset val="204"/>
    </font>
    <font>
      <b/>
      <sz val="12"/>
      <color theme="0" tint="-0.34998626667073579"/>
      <name val="Times New Roman"/>
      <family val="1"/>
      <charset val="204"/>
    </font>
    <font>
      <b/>
      <sz val="16"/>
      <color theme="6" tint="-0.499984740745262"/>
      <name val="Times New Roman"/>
      <family val="1"/>
      <charset val="204"/>
    </font>
    <font>
      <i/>
      <sz val="13"/>
      <color theme="1"/>
      <name val="Times New Roman"/>
      <family val="1"/>
      <charset val="204"/>
    </font>
    <font>
      <b/>
      <sz val="18"/>
      <color theme="1"/>
      <name val="Times New Roman"/>
      <family val="1"/>
      <charset val="204"/>
    </font>
    <font>
      <sz val="10"/>
      <color theme="1" tint="0.499984740745262"/>
      <name val="Arial"/>
      <family val="2"/>
      <charset val="204"/>
    </font>
    <font>
      <sz val="14"/>
      <color theme="1" tint="0.499984740745262"/>
      <name val="Times New Roman"/>
      <family val="1"/>
      <charset val="204"/>
    </font>
    <font>
      <b/>
      <sz val="14"/>
      <color theme="1" tint="0.499984740745262"/>
      <name val="Times New Roman"/>
      <family val="1"/>
      <charset val="204"/>
    </font>
    <font>
      <sz val="16"/>
      <color theme="1" tint="0.499984740745262"/>
      <name val="Times New Roman"/>
      <family val="1"/>
      <charset val="204"/>
    </font>
    <font>
      <sz val="13"/>
      <color theme="0" tint="-0.34998626667073579"/>
      <name val="Times New Roman"/>
      <family val="1"/>
      <charset val="204"/>
    </font>
    <font>
      <sz val="12"/>
      <color theme="0" tint="-0.34998626667073579"/>
      <name val="Times New Roman"/>
      <family val="1"/>
      <charset val="204"/>
    </font>
    <font>
      <i/>
      <sz val="14"/>
      <color theme="0" tint="-0.34998626667073579"/>
      <name val="Times New Roman"/>
      <family val="1"/>
      <charset val="204"/>
    </font>
    <font>
      <sz val="16"/>
      <color theme="0" tint="-0.34998626667073579"/>
      <name val="Times New Roman"/>
      <family val="1"/>
      <charset val="204"/>
    </font>
    <font>
      <i/>
      <sz val="12"/>
      <color theme="0" tint="-0.34998626667073579"/>
      <name val="Times New Roman"/>
      <family val="1"/>
      <charset val="204"/>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0"/>
        <bgColor indexed="64"/>
      </patternFill>
    </fill>
    <fill>
      <patternFill patternType="solid">
        <fgColor indexed="42"/>
        <bgColor indexed="64"/>
      </patternFill>
    </fill>
    <fill>
      <patternFill patternType="solid">
        <fgColor indexed="10"/>
        <bgColor indexed="64"/>
      </patternFill>
    </fill>
    <fill>
      <patternFill patternType="solid">
        <fgColor indexed="14"/>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16">
    <xf numFmtId="0" fontId="0" fillId="0" borderId="0"/>
    <xf numFmtId="0" fontId="10" fillId="0" borderId="0"/>
    <xf numFmtId="0" fontId="1" fillId="0" borderId="0"/>
    <xf numFmtId="0" fontId="10" fillId="0" borderId="0"/>
    <xf numFmtId="0" fontId="10" fillId="0" borderId="0"/>
    <xf numFmtId="0" fontId="46" fillId="0" borderId="0"/>
    <xf numFmtId="0" fontId="46" fillId="0" borderId="0"/>
    <xf numFmtId="0" fontId="46" fillId="0" borderId="0"/>
    <xf numFmtId="0" fontId="43" fillId="0" borderId="0"/>
    <xf numFmtId="0" fontId="46" fillId="0" borderId="0"/>
    <xf numFmtId="0" fontId="43" fillId="0" borderId="0"/>
    <xf numFmtId="0" fontId="10" fillId="0" borderId="0"/>
    <xf numFmtId="0" fontId="46" fillId="0" borderId="0"/>
    <xf numFmtId="0"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cellStyleXfs>
  <cellXfs count="1709">
    <xf numFmtId="0" fontId="0" fillId="0" borderId="0" xfId="0"/>
    <xf numFmtId="0" fontId="4" fillId="0" borderId="0" xfId="0" applyFont="1"/>
    <xf numFmtId="0" fontId="0" fillId="0" borderId="0" xfId="0" applyAlignment="1">
      <alignment horizontal="right"/>
    </xf>
    <xf numFmtId="178" fontId="5" fillId="2" borderId="0" xfId="0" applyNumberFormat="1" applyFont="1" applyFill="1" applyBorder="1" applyAlignment="1">
      <alignment horizontal="right"/>
    </xf>
    <xf numFmtId="0" fontId="5" fillId="0" borderId="0" xfId="0" applyFont="1" applyAlignment="1">
      <alignment horizontal="right"/>
    </xf>
    <xf numFmtId="0" fontId="5" fillId="0" borderId="0" xfId="0" applyFont="1" applyAlignment="1">
      <alignment horizontal="center"/>
    </xf>
    <xf numFmtId="0" fontId="6" fillId="0" borderId="0" xfId="0" applyFont="1" applyAlignment="1">
      <alignment horizontal="left"/>
    </xf>
    <xf numFmtId="0" fontId="8" fillId="0" borderId="0" xfId="0" applyFont="1"/>
    <xf numFmtId="0" fontId="8" fillId="0" borderId="0" xfId="0" applyFont="1" applyAlignment="1">
      <alignment horizontal="left"/>
    </xf>
    <xf numFmtId="0" fontId="10" fillId="0" borderId="0" xfId="0" applyFont="1"/>
    <xf numFmtId="178" fontId="5" fillId="0" borderId="0" xfId="0" applyNumberFormat="1" applyFont="1" applyBorder="1"/>
    <xf numFmtId="0" fontId="11" fillId="0" borderId="0" xfId="0" applyFont="1"/>
    <xf numFmtId="0" fontId="5" fillId="0" borderId="0" xfId="0" applyFont="1" applyAlignment="1"/>
    <xf numFmtId="0" fontId="0" fillId="0" borderId="0" xfId="0" applyBorder="1"/>
    <xf numFmtId="0" fontId="14" fillId="0" borderId="0" xfId="0" applyFont="1" applyAlignment="1">
      <alignment horizontal="right"/>
    </xf>
    <xf numFmtId="0" fontId="8" fillId="0" borderId="0" xfId="0" applyFont="1" applyAlignment="1">
      <alignment horizontal="center" wrapText="1"/>
    </xf>
    <xf numFmtId="0" fontId="8" fillId="0" borderId="0" xfId="0" applyFont="1" applyAlignment="1">
      <alignment horizontal="left" wrapText="1"/>
    </xf>
    <xf numFmtId="0" fontId="0" fillId="0" borderId="0" xfId="0" applyFill="1"/>
    <xf numFmtId="0" fontId="8" fillId="0" borderId="0" xfId="0" applyFont="1" applyAlignment="1"/>
    <xf numFmtId="0" fontId="4" fillId="0" borderId="0" xfId="0" applyFont="1" applyFill="1"/>
    <xf numFmtId="0" fontId="2" fillId="0" borderId="0" xfId="0" applyFont="1" applyFill="1"/>
    <xf numFmtId="0" fontId="11" fillId="0" borderId="0" xfId="0" applyFont="1" applyFill="1"/>
    <xf numFmtId="0" fontId="3" fillId="0" borderId="0" xfId="0" applyFont="1" applyFill="1"/>
    <xf numFmtId="0" fontId="0" fillId="0" borderId="0" xfId="0" applyFill="1" applyAlignment="1">
      <alignment horizontal="right"/>
    </xf>
    <xf numFmtId="0" fontId="19" fillId="0" borderId="0" xfId="0" applyFont="1" applyFill="1"/>
    <xf numFmtId="0" fontId="18" fillId="0" borderId="0" xfId="0" applyFont="1" applyAlignment="1">
      <alignment horizontal="right"/>
    </xf>
    <xf numFmtId="178" fontId="12" fillId="0" borderId="0" xfId="0" applyNumberFormat="1" applyFont="1" applyBorder="1" applyAlignment="1">
      <alignment horizontal="center"/>
    </xf>
    <xf numFmtId="0" fontId="15" fillId="0" borderId="0" xfId="0" applyFont="1" applyBorder="1" applyAlignment="1">
      <alignment horizontal="left" wrapText="1"/>
    </xf>
    <xf numFmtId="178" fontId="12" fillId="0" borderId="0" xfId="0" applyNumberFormat="1" applyFont="1" applyFill="1" applyBorder="1" applyAlignment="1">
      <alignment horizontal="center"/>
    </xf>
    <xf numFmtId="0" fontId="12" fillId="0" borderId="1" xfId="0" applyFont="1" applyBorder="1" applyAlignment="1">
      <alignment horizontal="left" wrapText="1"/>
    </xf>
    <xf numFmtId="0" fontId="8" fillId="0" borderId="1" xfId="0" applyFont="1" applyBorder="1" applyAlignment="1">
      <alignment horizontal="left"/>
    </xf>
    <xf numFmtId="0" fontId="17" fillId="0" borderId="0" xfId="0" applyFont="1" applyAlignment="1">
      <alignment horizontal="right"/>
    </xf>
    <xf numFmtId="178" fontId="6" fillId="0" borderId="0" xfId="0" applyNumberFormat="1" applyFont="1" applyBorder="1" applyAlignment="1"/>
    <xf numFmtId="0" fontId="14" fillId="0" borderId="1" xfId="0" applyFont="1" applyBorder="1" applyAlignment="1">
      <alignment vertical="top" wrapText="1"/>
    </xf>
    <xf numFmtId="0" fontId="14" fillId="0" borderId="1" xfId="0" applyFont="1" applyBorder="1" applyAlignment="1">
      <alignment horizontal="justify" vertical="top" wrapText="1"/>
    </xf>
    <xf numFmtId="0" fontId="14" fillId="0" borderId="1" xfId="0" applyNumberFormat="1" applyFont="1" applyBorder="1" applyAlignment="1">
      <alignment vertical="top" wrapText="1"/>
    </xf>
    <xf numFmtId="0" fontId="8" fillId="0" borderId="0" xfId="0" applyFont="1" applyBorder="1"/>
    <xf numFmtId="0" fontId="24" fillId="0" borderId="0" xfId="0" applyFont="1"/>
    <xf numFmtId="0" fontId="14" fillId="2" borderId="1" xfId="0" applyFont="1" applyFill="1" applyBorder="1" applyAlignment="1">
      <alignment horizontal="left" vertical="top" wrapText="1" shrinkToFit="1"/>
    </xf>
    <xf numFmtId="0" fontId="14" fillId="0" borderId="1" xfId="0" applyFont="1" applyFill="1" applyBorder="1" applyAlignment="1">
      <alignment horizontal="center" vertical="top"/>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shrinkToFit="1"/>
    </xf>
    <xf numFmtId="49" fontId="14" fillId="0" borderId="1" xfId="0" applyNumberFormat="1" applyFont="1" applyFill="1" applyBorder="1" applyAlignment="1">
      <alignment horizontal="center" vertical="top"/>
    </xf>
    <xf numFmtId="0" fontId="14" fillId="0" borderId="1" xfId="0" applyFont="1" applyFill="1" applyBorder="1" applyAlignment="1">
      <alignment wrapText="1"/>
    </xf>
    <xf numFmtId="0" fontId="14" fillId="0" borderId="1" xfId="0" applyFont="1" applyBorder="1" applyAlignment="1">
      <alignment horizontal="left" wrapText="1"/>
    </xf>
    <xf numFmtId="0" fontId="22" fillId="0" borderId="1" xfId="0" applyFont="1" applyFill="1" applyBorder="1" applyAlignment="1">
      <alignment horizontal="left" vertical="top" wrapText="1" shrinkToFit="1"/>
    </xf>
    <xf numFmtId="3" fontId="14" fillId="0" borderId="1" xfId="0" applyNumberFormat="1" applyFont="1" applyFill="1" applyBorder="1" applyAlignment="1">
      <alignment horizontal="right" vertical="top"/>
    </xf>
    <xf numFmtId="3" fontId="22" fillId="0" borderId="1" xfId="0" applyNumberFormat="1" applyFont="1" applyFill="1" applyBorder="1" applyAlignment="1">
      <alignment horizontal="right" vertical="top"/>
    </xf>
    <xf numFmtId="3" fontId="14" fillId="0" borderId="1" xfId="0" applyNumberFormat="1" applyFont="1" applyFill="1" applyBorder="1" applyAlignment="1">
      <alignment horizontal="right" vertical="top" wrapText="1"/>
    </xf>
    <xf numFmtId="3" fontId="12" fillId="0" borderId="1" xfId="0" applyNumberFormat="1" applyFont="1" applyBorder="1" applyAlignment="1">
      <alignment horizontal="center"/>
    </xf>
    <xf numFmtId="4" fontId="14" fillId="0" borderId="1" xfId="0" applyNumberFormat="1" applyFont="1" applyFill="1" applyBorder="1" applyAlignment="1">
      <alignment horizontal="right" vertical="top"/>
    </xf>
    <xf numFmtId="4" fontId="8" fillId="0" borderId="1" xfId="0" applyNumberFormat="1" applyFont="1" applyBorder="1" applyAlignment="1">
      <alignment horizontal="center"/>
    </xf>
    <xf numFmtId="178" fontId="6" fillId="0" borderId="0" xfId="0" applyNumberFormat="1" applyFont="1" applyBorder="1" applyAlignment="1">
      <alignment horizontal="left" wrapText="1"/>
    </xf>
    <xf numFmtId="178" fontId="6" fillId="0" borderId="0" xfId="0" applyNumberFormat="1" applyFont="1" applyBorder="1" applyAlignment="1">
      <alignment horizontal="right" wrapText="1"/>
    </xf>
    <xf numFmtId="0" fontId="6" fillId="0" borderId="0" xfId="0" applyFont="1" applyBorder="1" applyAlignment="1">
      <alignment horizontal="left"/>
    </xf>
    <xf numFmtId="0" fontId="1" fillId="0" borderId="0" xfId="0" applyFont="1" applyFill="1"/>
    <xf numFmtId="0" fontId="26" fillId="0" borderId="1" xfId="0" applyFont="1" applyFill="1" applyBorder="1" applyAlignment="1">
      <alignment vertical="top" wrapText="1"/>
    </xf>
    <xf numFmtId="0" fontId="27" fillId="0" borderId="1" xfId="0" applyFont="1" applyBorder="1" applyAlignment="1">
      <alignment horizontal="center" vertical="top" wrapText="1"/>
    </xf>
    <xf numFmtId="0" fontId="27" fillId="0" borderId="1" xfId="0" applyFont="1" applyBorder="1" applyAlignment="1">
      <alignment vertical="top" wrapText="1"/>
    </xf>
    <xf numFmtId="0" fontId="29" fillId="0" borderId="1" xfId="0" applyFont="1" applyBorder="1" applyAlignment="1">
      <alignment horizontal="center" vertical="top" wrapText="1"/>
    </xf>
    <xf numFmtId="0" fontId="29" fillId="0" borderId="1" xfId="0" applyFont="1" applyBorder="1" applyAlignment="1">
      <alignment vertical="top" wrapText="1"/>
    </xf>
    <xf numFmtId="0" fontId="25" fillId="0" borderId="1" xfId="0" applyFont="1" applyFill="1" applyBorder="1" applyAlignment="1">
      <alignment vertical="top" wrapText="1"/>
    </xf>
    <xf numFmtId="0" fontId="25" fillId="0" borderId="1" xfId="0" applyFont="1" applyBorder="1" applyAlignment="1">
      <alignment horizontal="center" vertical="top" wrapText="1"/>
    </xf>
    <xf numFmtId="0" fontId="30" fillId="0" borderId="0" xfId="0" applyFont="1" applyBorder="1" applyAlignment="1">
      <alignment horizontal="center" vertical="top" wrapText="1"/>
    </xf>
    <xf numFmtId="0" fontId="30" fillId="0" borderId="0" xfId="0" applyFont="1" applyBorder="1" applyAlignment="1">
      <alignment vertical="top" wrapText="1"/>
    </xf>
    <xf numFmtId="0" fontId="18" fillId="0" borderId="0" xfId="0" applyFont="1"/>
    <xf numFmtId="3" fontId="8" fillId="0" borderId="1" xfId="0" applyNumberFormat="1" applyFont="1" applyBorder="1" applyAlignment="1">
      <alignment horizontal="center"/>
    </xf>
    <xf numFmtId="0" fontId="12" fillId="0" borderId="0" xfId="0" applyFont="1"/>
    <xf numFmtId="0" fontId="8" fillId="0" borderId="1" xfId="0" applyFont="1" applyFill="1" applyBorder="1" applyAlignment="1">
      <alignment horizontal="center" vertical="center"/>
    </xf>
    <xf numFmtId="3" fontId="8" fillId="0" borderId="0" xfId="0" applyNumberFormat="1" applyFont="1"/>
    <xf numFmtId="3" fontId="8" fillId="0" borderId="1" xfId="0" applyNumberFormat="1" applyFont="1" applyBorder="1"/>
    <xf numFmtId="4" fontId="0" fillId="0" borderId="0" xfId="0" applyNumberFormat="1"/>
    <xf numFmtId="3" fontId="0" fillId="0" borderId="0" xfId="0" applyNumberFormat="1"/>
    <xf numFmtId="0" fontId="35" fillId="0" borderId="0" xfId="0" applyFont="1"/>
    <xf numFmtId="0" fontId="37" fillId="0" borderId="0" xfId="0" applyFont="1"/>
    <xf numFmtId="3" fontId="12" fillId="0" borderId="1" xfId="0" applyNumberFormat="1" applyFont="1" applyBorder="1" applyAlignment="1">
      <alignment horizontal="left"/>
    </xf>
    <xf numFmtId="3" fontId="8" fillId="0" borderId="1" xfId="15" applyNumberFormat="1" applyFont="1" applyBorder="1" applyAlignment="1">
      <alignment horizontal="center"/>
    </xf>
    <xf numFmtId="3" fontId="15" fillId="0" borderId="0" xfId="0" applyNumberFormat="1" applyFont="1" applyBorder="1" applyAlignment="1">
      <alignment horizontal="left" wrapText="1"/>
    </xf>
    <xf numFmtId="0" fontId="8" fillId="0" borderId="0" xfId="0" applyFont="1" applyAlignment="1">
      <alignment horizontal="right"/>
    </xf>
    <xf numFmtId="4" fontId="12" fillId="0" borderId="1" xfId="0" applyNumberFormat="1" applyFont="1" applyBorder="1" applyAlignment="1">
      <alignment horizontal="center"/>
    </xf>
    <xf numFmtId="4" fontId="8" fillId="0" borderId="0" xfId="0" applyNumberFormat="1" applyFont="1"/>
    <xf numFmtId="4" fontId="8" fillId="0" borderId="0" xfId="0" applyNumberFormat="1" applyFont="1" applyBorder="1"/>
    <xf numFmtId="0" fontId="12" fillId="0" borderId="1" xfId="0" applyFont="1" applyBorder="1"/>
    <xf numFmtId="3" fontId="0" fillId="0" borderId="0" xfId="0" applyNumberFormat="1" applyFill="1"/>
    <xf numFmtId="0" fontId="19" fillId="3" borderId="0" xfId="0" applyFont="1" applyFill="1"/>
    <xf numFmtId="0" fontId="40" fillId="0" borderId="0" xfId="0" applyFont="1"/>
    <xf numFmtId="0" fontId="3" fillId="0" borderId="0" xfId="0" applyFont="1"/>
    <xf numFmtId="0" fontId="19" fillId="0" borderId="0" xfId="0" applyFont="1" applyFill="1" applyBorder="1"/>
    <xf numFmtId="0" fontId="14" fillId="0" borderId="0" xfId="0" applyFont="1" applyFill="1" applyAlignment="1">
      <alignment horizontal="right"/>
    </xf>
    <xf numFmtId="0" fontId="8" fillId="0" borderId="0" xfId="0" applyFont="1" applyFill="1" applyAlignment="1">
      <alignment horizontal="right"/>
    </xf>
    <xf numFmtId="3" fontId="8" fillId="0" borderId="1" xfId="0" applyNumberFormat="1" applyFont="1" applyFill="1" applyBorder="1" applyAlignment="1">
      <alignment horizontal="center"/>
    </xf>
    <xf numFmtId="3" fontId="12" fillId="0" borderId="1" xfId="0" applyNumberFormat="1" applyFont="1" applyFill="1" applyBorder="1" applyAlignment="1">
      <alignment horizontal="center"/>
    </xf>
    <xf numFmtId="0" fontId="8" fillId="0" borderId="0" xfId="0" applyFont="1" applyFill="1"/>
    <xf numFmtId="0" fontId="40" fillId="0" borderId="0" xfId="0" applyFont="1" applyFill="1"/>
    <xf numFmtId="0" fontId="8" fillId="0" borderId="1" xfId="0" applyFont="1" applyFill="1" applyBorder="1" applyAlignment="1">
      <alignment horizontal="left"/>
    </xf>
    <xf numFmtId="0" fontId="8" fillId="0" borderId="1" xfId="0" applyFont="1" applyBorder="1"/>
    <xf numFmtId="3" fontId="14" fillId="0" borderId="2" xfId="0" applyNumberFormat="1" applyFont="1" applyFill="1" applyBorder="1" applyAlignment="1">
      <alignment horizontal="right" vertical="top" wrapText="1"/>
    </xf>
    <xf numFmtId="3" fontId="14" fillId="0" borderId="2" xfId="0" applyNumberFormat="1" applyFont="1" applyFill="1" applyBorder="1" applyAlignment="1">
      <alignment horizontal="right" vertical="top"/>
    </xf>
    <xf numFmtId="0" fontId="14" fillId="0" borderId="0" xfId="0" applyFont="1" applyFill="1" applyAlignment="1"/>
    <xf numFmtId="0" fontId="12" fillId="0" borderId="1" xfId="0" applyNumberFormat="1" applyFont="1" applyBorder="1" applyAlignment="1">
      <alignment horizontal="left"/>
    </xf>
    <xf numFmtId="0" fontId="12" fillId="0" borderId="1" xfId="0" applyFont="1" applyBorder="1" applyAlignment="1">
      <alignment horizontal="left"/>
    </xf>
    <xf numFmtId="0" fontId="42" fillId="0" borderId="0" xfId="0" applyFont="1"/>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19" fillId="0" borderId="0" xfId="0" applyFont="1"/>
    <xf numFmtId="0" fontId="14" fillId="0" borderId="3" xfId="0" applyFont="1" applyBorder="1" applyAlignment="1">
      <alignment horizontal="center" vertical="top" wrapText="1"/>
    </xf>
    <xf numFmtId="0" fontId="14" fillId="0" borderId="1" xfId="0" applyFont="1" applyBorder="1" applyAlignment="1">
      <alignment horizontal="center" vertical="top" wrapText="1"/>
    </xf>
    <xf numFmtId="0" fontId="8" fillId="0" borderId="1" xfId="0" applyFont="1" applyFill="1" applyBorder="1" applyAlignment="1">
      <alignment horizontal="left" vertical="center" wrapText="1"/>
    </xf>
    <xf numFmtId="1" fontId="8" fillId="0" borderId="0" xfId="0" applyNumberFormat="1" applyFont="1"/>
    <xf numFmtId="0" fontId="8" fillId="3" borderId="0" xfId="0" applyFont="1" applyFill="1"/>
    <xf numFmtId="0" fontId="12" fillId="0" borderId="1" xfId="0" applyFont="1" applyBorder="1" applyAlignment="1">
      <alignment wrapText="1"/>
    </xf>
    <xf numFmtId="0" fontId="8" fillId="0" borderId="1" xfId="0" applyFont="1" applyBorder="1" applyAlignment="1">
      <alignment horizontal="center" vertical="center" wrapText="1"/>
    </xf>
    <xf numFmtId="1" fontId="40" fillId="0" borderId="0" xfId="0" applyNumberFormat="1" applyFont="1"/>
    <xf numFmtId="0" fontId="8" fillId="0" borderId="1" xfId="0" applyFont="1" applyFill="1" applyBorder="1" applyAlignment="1">
      <alignment horizontal="left" wrapText="1"/>
    </xf>
    <xf numFmtId="0" fontId="5" fillId="0" borderId="1" xfId="0" applyFont="1" applyFill="1" applyBorder="1" applyAlignment="1">
      <alignment horizontal="left" vertical="center" wrapText="1"/>
    </xf>
    <xf numFmtId="3" fontId="12" fillId="0" borderId="1" xfId="0" applyNumberFormat="1" applyFont="1" applyBorder="1" applyAlignment="1">
      <alignment horizontal="center" wrapText="1"/>
    </xf>
    <xf numFmtId="0" fontId="40" fillId="0" borderId="1" xfId="0" applyFont="1" applyFill="1" applyBorder="1" applyAlignment="1">
      <alignment horizontal="left" vertical="center" wrapText="1"/>
    </xf>
    <xf numFmtId="3" fontId="12" fillId="0" borderId="1" xfId="0" applyNumberFormat="1" applyFont="1" applyBorder="1" applyAlignment="1">
      <alignment wrapText="1"/>
    </xf>
    <xf numFmtId="0" fontId="12" fillId="0" borderId="2" xfId="0" applyFont="1" applyBorder="1" applyAlignment="1">
      <alignment horizontal="left"/>
    </xf>
    <xf numFmtId="0" fontId="45" fillId="0" borderId="1" xfId="0" applyFont="1" applyFill="1" applyBorder="1" applyAlignment="1">
      <alignment horizontal="left" vertical="center" wrapText="1"/>
    </xf>
    <xf numFmtId="0" fontId="45" fillId="0" borderId="0" xfId="0" applyFont="1"/>
    <xf numFmtId="0" fontId="5" fillId="0" borderId="0" xfId="5" applyFont="1" applyAlignment="1">
      <alignment horizontal="centerContinuous"/>
    </xf>
    <xf numFmtId="0" fontId="8" fillId="0" borderId="0" xfId="5" applyFont="1" applyAlignment="1"/>
    <xf numFmtId="0" fontId="1" fillId="0" borderId="0" xfId="5" applyFont="1"/>
    <xf numFmtId="0" fontId="10" fillId="0" borderId="0" xfId="5" applyFont="1"/>
    <xf numFmtId="0" fontId="5" fillId="0" borderId="0" xfId="5" applyFont="1" applyAlignment="1">
      <alignment horizontal="left"/>
    </xf>
    <xf numFmtId="0" fontId="5" fillId="0" borderId="0" xfId="5" applyFont="1" applyAlignment="1">
      <alignment horizontal="center"/>
    </xf>
    <xf numFmtId="0" fontId="5" fillId="0" borderId="0" xfId="5" applyFont="1"/>
    <xf numFmtId="0" fontId="5" fillId="0" borderId="0" xfId="5" applyFont="1" applyAlignment="1">
      <alignment horizontal="right"/>
    </xf>
    <xf numFmtId="0" fontId="14" fillId="0" borderId="1" xfId="5" applyFont="1" applyBorder="1" applyAlignment="1">
      <alignment horizontal="center"/>
    </xf>
    <xf numFmtId="0" fontId="21" fillId="0" borderId="1" xfId="5" applyFont="1" applyBorder="1" applyAlignment="1">
      <alignment horizontal="center"/>
    </xf>
    <xf numFmtId="3" fontId="21" fillId="0" borderId="1" xfId="5" applyNumberFormat="1" applyFont="1" applyBorder="1"/>
    <xf numFmtId="0" fontId="21" fillId="0" borderId="1" xfId="5" applyFont="1" applyBorder="1" applyAlignment="1">
      <alignment horizontal="justify" wrapText="1"/>
    </xf>
    <xf numFmtId="0" fontId="23" fillId="0" borderId="1" xfId="5" applyFont="1" applyBorder="1" applyAlignment="1">
      <alignment horizontal="center"/>
    </xf>
    <xf numFmtId="0" fontId="23" fillId="0" borderId="1" xfId="5" applyFont="1" applyBorder="1"/>
    <xf numFmtId="3" fontId="23" fillId="0" borderId="1" xfId="5" applyNumberFormat="1" applyFont="1" applyBorder="1"/>
    <xf numFmtId="0" fontId="47" fillId="0" borderId="0" xfId="5" applyFont="1"/>
    <xf numFmtId="0" fontId="48" fillId="0" borderId="0" xfId="5" applyFont="1"/>
    <xf numFmtId="1" fontId="20" fillId="0" borderId="1" xfId="5" applyNumberFormat="1" applyFont="1" applyBorder="1" applyAlignment="1">
      <alignment horizontal="center" vertical="center"/>
    </xf>
    <xf numFmtId="0" fontId="20" fillId="0" borderId="1" xfId="5" applyFont="1" applyBorder="1" applyAlignment="1">
      <alignment vertical="center" wrapText="1"/>
    </xf>
    <xf numFmtId="3" fontId="14" fillId="0" borderId="1" xfId="5" applyNumberFormat="1" applyFont="1" applyBorder="1"/>
    <xf numFmtId="0" fontId="23" fillId="0" borderId="1" xfId="5" applyFont="1" applyBorder="1" applyAlignment="1">
      <alignment horizontal="justify" wrapText="1"/>
    </xf>
    <xf numFmtId="0" fontId="14" fillId="0" borderId="1" xfId="5" applyFont="1" applyBorder="1" applyAlignment="1">
      <alignment horizontal="justify" wrapText="1"/>
    </xf>
    <xf numFmtId="0" fontId="21" fillId="0" borderId="1" xfId="5" applyFont="1" applyBorder="1"/>
    <xf numFmtId="0" fontId="49" fillId="0" borderId="0" xfId="5" applyFont="1"/>
    <xf numFmtId="0" fontId="50" fillId="0" borderId="0" xfId="5" applyFont="1"/>
    <xf numFmtId="0" fontId="51" fillId="0" borderId="1" xfId="5" applyFont="1" applyBorder="1" applyAlignment="1">
      <alignment vertical="center" wrapText="1"/>
    </xf>
    <xf numFmtId="0" fontId="13" fillId="0" borderId="0" xfId="5" applyFont="1"/>
    <xf numFmtId="0" fontId="11" fillId="0" borderId="0" xfId="5" applyFont="1"/>
    <xf numFmtId="0" fontId="52" fillId="0" borderId="1" xfId="5" applyFont="1" applyBorder="1" applyAlignment="1">
      <alignment vertical="center" wrapText="1"/>
    </xf>
    <xf numFmtId="0" fontId="21" fillId="0" borderId="1" xfId="5" applyFont="1" applyBorder="1" applyAlignment="1">
      <alignment horizontal="center" wrapText="1"/>
    </xf>
    <xf numFmtId="0" fontId="14" fillId="0" borderId="1" xfId="5" applyFont="1" applyBorder="1" applyAlignment="1">
      <alignment horizontal="justify" vertical="center" wrapText="1"/>
    </xf>
    <xf numFmtId="0" fontId="23" fillId="0" borderId="1" xfId="5" applyFont="1" applyBorder="1" applyAlignment="1">
      <alignment horizontal="left" wrapText="1"/>
    </xf>
    <xf numFmtId="0" fontId="14" fillId="0" borderId="1" xfId="5" applyFont="1" applyBorder="1"/>
    <xf numFmtId="3" fontId="10" fillId="0" borderId="0" xfId="5" applyNumberFormat="1" applyFont="1"/>
    <xf numFmtId="0" fontId="52" fillId="0" borderId="0" xfId="5" applyFont="1"/>
    <xf numFmtId="0" fontId="14" fillId="0" borderId="1" xfId="5" applyFont="1" applyBorder="1" applyAlignment="1">
      <alignment wrapText="1"/>
    </xf>
    <xf numFmtId="0" fontId="23" fillId="0" borderId="1" xfId="5" applyFont="1" applyBorder="1" applyAlignment="1">
      <alignment wrapText="1"/>
    </xf>
    <xf numFmtId="0" fontId="14" fillId="0" borderId="1" xfId="5" applyFont="1" applyBorder="1" applyAlignment="1">
      <alignment horizontal="center" vertical="justify"/>
    </xf>
    <xf numFmtId="0" fontId="14" fillId="0" borderId="1" xfId="5" applyFont="1" applyBorder="1" applyAlignment="1">
      <alignment horizontal="center" vertical="top"/>
    </xf>
    <xf numFmtId="4" fontId="14" fillId="0" borderId="1" xfId="5" applyNumberFormat="1" applyFont="1" applyBorder="1"/>
    <xf numFmtId="0" fontId="14" fillId="0" borderId="0" xfId="5" applyFont="1" applyBorder="1"/>
    <xf numFmtId="3" fontId="21" fillId="0" borderId="0" xfId="5" applyNumberFormat="1" applyFont="1" applyBorder="1"/>
    <xf numFmtId="0" fontId="8" fillId="0" borderId="0" xfId="5" applyFont="1" applyBorder="1"/>
    <xf numFmtId="0" fontId="12" fillId="0" borderId="0" xfId="5" applyFont="1" applyBorder="1" applyAlignment="1">
      <alignment horizontal="center"/>
    </xf>
    <xf numFmtId="178" fontId="8" fillId="0" borderId="0" xfId="5" applyNumberFormat="1" applyFont="1" applyBorder="1"/>
    <xf numFmtId="178" fontId="21" fillId="0" borderId="0" xfId="5" applyNumberFormat="1" applyFont="1" applyBorder="1"/>
    <xf numFmtId="0" fontId="24" fillId="0" borderId="0" xfId="5" applyFont="1"/>
    <xf numFmtId="0" fontId="12" fillId="0" borderId="0" xfId="5" applyFont="1" applyBorder="1"/>
    <xf numFmtId="0" fontId="10" fillId="0" borderId="1" xfId="5" applyFont="1" applyBorder="1"/>
    <xf numFmtId="0" fontId="53" fillId="0" borderId="0" xfId="5" applyFont="1"/>
    <xf numFmtId="0" fontId="14" fillId="0" borderId="1" xfId="12" applyFont="1" applyBorder="1" applyAlignment="1">
      <alignment horizontal="justify" vertical="top" wrapText="1"/>
    </xf>
    <xf numFmtId="0" fontId="14" fillId="0" borderId="1" xfId="12" applyFont="1" applyBorder="1" applyAlignment="1">
      <alignment vertical="top" wrapText="1"/>
    </xf>
    <xf numFmtId="0" fontId="14" fillId="0" borderId="1" xfId="12" applyNumberFormat="1" applyFont="1" applyBorder="1" applyAlignment="1">
      <alignment vertical="top" wrapText="1"/>
    </xf>
    <xf numFmtId="0" fontId="14" fillId="0" borderId="1" xfId="12" applyFont="1" applyBorder="1" applyAlignment="1">
      <alignment horizontal="justify" wrapText="1"/>
    </xf>
    <xf numFmtId="0" fontId="21" fillId="0" borderId="1" xfId="12" applyFont="1" applyBorder="1" applyAlignment="1">
      <alignment horizontal="center"/>
    </xf>
    <xf numFmtId="0" fontId="20" fillId="0" borderId="1" xfId="12" applyFont="1" applyBorder="1" applyAlignment="1">
      <alignment vertical="center" wrapText="1"/>
    </xf>
    <xf numFmtId="0" fontId="21" fillId="0" borderId="0" xfId="12" applyFont="1" applyBorder="1" applyAlignment="1">
      <alignment horizontal="center"/>
    </xf>
    <xf numFmtId="3" fontId="8" fillId="3" borderId="0" xfId="0" applyNumberFormat="1" applyFont="1" applyFill="1"/>
    <xf numFmtId="3" fontId="21" fillId="0" borderId="1" xfId="0" applyNumberFormat="1" applyFont="1" applyBorder="1" applyAlignment="1">
      <alignment wrapText="1"/>
    </xf>
    <xf numFmtId="3" fontId="12" fillId="0" borderId="0" xfId="0" applyNumberFormat="1" applyFont="1" applyBorder="1" applyAlignment="1">
      <alignment wrapText="1"/>
    </xf>
    <xf numFmtId="0" fontId="8" fillId="0" borderId="1" xfId="12" applyFont="1" applyFill="1" applyBorder="1" applyAlignment="1">
      <alignment horizontal="left" vertical="center" wrapText="1"/>
    </xf>
    <xf numFmtId="0" fontId="40" fillId="0" borderId="1" xfId="12" applyFont="1" applyFill="1" applyBorder="1" applyAlignment="1">
      <alignment horizontal="left" vertical="center" wrapText="1"/>
    </xf>
    <xf numFmtId="181" fontId="8" fillId="0" borderId="1" xfId="10" applyNumberFormat="1" applyFont="1" applyFill="1" applyBorder="1" applyAlignment="1">
      <alignment horizontal="center" vertical="center" wrapText="1"/>
    </xf>
    <xf numFmtId="181" fontId="8" fillId="0" borderId="1" xfId="0" applyNumberFormat="1" applyFont="1" applyFill="1" applyBorder="1" applyAlignment="1">
      <alignment horizontal="center" vertical="center"/>
    </xf>
    <xf numFmtId="0" fontId="54" fillId="0" borderId="0" xfId="0" applyFont="1"/>
    <xf numFmtId="0" fontId="55" fillId="0" borderId="1" xfId="12" applyFont="1" applyFill="1" applyBorder="1" applyAlignment="1">
      <alignment horizontal="left" vertical="center" wrapText="1"/>
    </xf>
    <xf numFmtId="186" fontId="7" fillId="0" borderId="0" xfId="0" applyNumberFormat="1" applyFont="1"/>
    <xf numFmtId="186" fontId="56" fillId="0" borderId="0" xfId="0" applyNumberFormat="1" applyFont="1"/>
    <xf numFmtId="185" fontId="0" fillId="0" borderId="0" xfId="0" applyNumberFormat="1"/>
    <xf numFmtId="186" fontId="7" fillId="0" borderId="0" xfId="0" applyNumberFormat="1" applyFont="1" applyAlignment="1">
      <alignment horizontal="right"/>
    </xf>
    <xf numFmtId="4" fontId="28" fillId="0" borderId="1" xfId="0" applyNumberFormat="1" applyFont="1" applyBorder="1" applyAlignment="1">
      <alignment horizontal="center"/>
    </xf>
    <xf numFmtId="3" fontId="14" fillId="0" borderId="4" xfId="0" applyNumberFormat="1" applyFont="1" applyFill="1" applyBorder="1" applyAlignment="1">
      <alignment horizontal="right" vertical="top"/>
    </xf>
    <xf numFmtId="3" fontId="14" fillId="0" borderId="5" xfId="0" applyNumberFormat="1" applyFont="1" applyFill="1" applyBorder="1" applyAlignment="1">
      <alignment horizontal="right" vertical="top"/>
    </xf>
    <xf numFmtId="0" fontId="14" fillId="0" borderId="4" xfId="0" applyFont="1" applyFill="1" applyBorder="1" applyAlignment="1">
      <alignment horizontal="left" vertical="top" wrapText="1" shrinkToFit="1"/>
    </xf>
    <xf numFmtId="0" fontId="2" fillId="0" borderId="0" xfId="0" applyFont="1" applyFill="1" applyBorder="1"/>
    <xf numFmtId="4" fontId="2" fillId="0" borderId="0" xfId="0" applyNumberFormat="1" applyFont="1" applyFill="1" applyBorder="1"/>
    <xf numFmtId="0" fontId="3" fillId="0" borderId="0" xfId="0" applyFont="1" applyFill="1" applyBorder="1"/>
    <xf numFmtId="0" fontId="8" fillId="0" borderId="1" xfId="0" applyFont="1" applyFill="1" applyBorder="1" applyAlignment="1">
      <alignment horizontal="center" vertical="top" wrapText="1"/>
    </xf>
    <xf numFmtId="3" fontId="8" fillId="0" borderId="1" xfId="0" applyNumberFormat="1" applyFont="1" applyBorder="1" applyAlignment="1">
      <alignment horizontal="left" wrapText="1"/>
    </xf>
    <xf numFmtId="0"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3" fontId="8" fillId="0" borderId="1" xfId="0" applyNumberFormat="1" applyFont="1" applyBorder="1" applyAlignment="1">
      <alignment horizontal="left" vertical="center"/>
    </xf>
    <xf numFmtId="0" fontId="5" fillId="0" borderId="0" xfId="0" applyFont="1" applyFill="1" applyAlignment="1">
      <alignment horizontal="centerContinuous"/>
    </xf>
    <xf numFmtId="0" fontId="8" fillId="0" borderId="0" xfId="0" applyFont="1" applyFill="1" applyAlignment="1"/>
    <xf numFmtId="0" fontId="5" fillId="0" borderId="0" xfId="0" applyFont="1" applyFill="1" applyAlignment="1">
      <alignment horizontal="left"/>
    </xf>
    <xf numFmtId="0" fontId="7" fillId="0" borderId="0" xfId="0" applyFont="1" applyFill="1" applyBorder="1" applyAlignment="1">
      <alignment horizontal="center"/>
    </xf>
    <xf numFmtId="0" fontId="10" fillId="0" borderId="0" xfId="0" applyFont="1" applyFill="1"/>
    <xf numFmtId="3" fontId="8" fillId="0" borderId="0" xfId="0" applyNumberFormat="1" applyFont="1" applyFill="1"/>
    <xf numFmtId="0" fontId="12" fillId="0" borderId="1" xfId="0" applyFont="1" applyFill="1" applyBorder="1" applyAlignment="1">
      <alignment wrapText="1"/>
    </xf>
    <xf numFmtId="0" fontId="12" fillId="0" borderId="0" xfId="0" applyFont="1" applyFill="1"/>
    <xf numFmtId="1" fontId="12" fillId="0" borderId="1" xfId="0" applyNumberFormat="1" applyFont="1" applyFill="1" applyBorder="1" applyAlignment="1">
      <alignment wrapText="1"/>
    </xf>
    <xf numFmtId="0" fontId="8" fillId="0" borderId="1" xfId="12" applyFont="1" applyFill="1" applyBorder="1" applyAlignment="1">
      <alignment wrapText="1"/>
    </xf>
    <xf numFmtId="0" fontId="45" fillId="0" borderId="0" xfId="0" applyFont="1" applyFill="1"/>
    <xf numFmtId="0" fontId="54" fillId="0" borderId="0" xfId="0" applyFont="1" applyFill="1"/>
    <xf numFmtId="1" fontId="8" fillId="0" borderId="0" xfId="0" applyNumberFormat="1" applyFont="1" applyFill="1"/>
    <xf numFmtId="0" fontId="39" fillId="0" borderId="0" xfId="0" applyFont="1" applyFill="1"/>
    <xf numFmtId="3" fontId="39" fillId="0" borderId="0" xfId="0" applyNumberFormat="1" applyFont="1" applyFill="1"/>
    <xf numFmtId="3" fontId="8" fillId="0" borderId="1" xfId="0" applyNumberFormat="1" applyFont="1" applyBorder="1" applyAlignment="1">
      <alignment horizontal="left" vertical="center" wrapText="1"/>
    </xf>
    <xf numFmtId="0" fontId="5" fillId="0" borderId="0" xfId="0" applyFont="1" applyAlignment="1">
      <alignment horizontal="centerContinuous" wrapText="1"/>
    </xf>
    <xf numFmtId="0" fontId="5" fillId="0" borderId="0" xfId="0" applyFont="1" applyAlignment="1">
      <alignment horizontal="left" wrapText="1"/>
    </xf>
    <xf numFmtId="0" fontId="7" fillId="0" borderId="0" xfId="0" applyFont="1" applyBorder="1" applyAlignment="1">
      <alignment horizontal="center" wrapText="1"/>
    </xf>
    <xf numFmtId="0" fontId="8" fillId="0" borderId="0" xfId="0" applyFont="1" applyAlignment="1">
      <alignment wrapText="1"/>
    </xf>
    <xf numFmtId="3" fontId="12" fillId="0" borderId="0" xfId="15" applyNumberFormat="1" applyFont="1" applyBorder="1" applyAlignment="1">
      <alignment horizontal="center"/>
    </xf>
    <xf numFmtId="0" fontId="8" fillId="0" borderId="1" xfId="0" applyFont="1" applyBorder="1" applyAlignment="1">
      <alignment horizontal="justify"/>
    </xf>
    <xf numFmtId="0" fontId="57" fillId="0" borderId="1" xfId="0" applyFont="1" applyBorder="1" applyAlignment="1">
      <alignment horizontal="justify"/>
    </xf>
    <xf numFmtId="0" fontId="57" fillId="0" borderId="1" xfId="0" applyFont="1" applyFill="1" applyBorder="1" applyAlignment="1">
      <alignment horizontal="left" vertical="center" wrapText="1"/>
    </xf>
    <xf numFmtId="0" fontId="8" fillId="0" borderId="1" xfId="8" applyFont="1" applyFill="1" applyBorder="1" applyAlignment="1">
      <alignment horizontal="justify" vertical="center" wrapText="1"/>
    </xf>
    <xf numFmtId="0" fontId="58" fillId="0" borderId="1" xfId="0" applyNumberFormat="1" applyFont="1" applyFill="1" applyBorder="1" applyAlignment="1" applyProtection="1">
      <alignment horizontal="justify" vertical="center"/>
    </xf>
    <xf numFmtId="0" fontId="8" fillId="0" borderId="1" xfId="0" applyFont="1" applyBorder="1" applyAlignment="1">
      <alignment horizontal="left" vertical="center" wrapText="1"/>
    </xf>
    <xf numFmtId="181" fontId="8" fillId="3" borderId="0" xfId="0" applyNumberFormat="1" applyFont="1" applyFill="1"/>
    <xf numFmtId="181" fontId="8" fillId="0" borderId="0" xfId="0" applyNumberFormat="1" applyFont="1" applyFill="1"/>
    <xf numFmtId="181" fontId="8" fillId="0" borderId="0" xfId="0" applyNumberFormat="1" applyFont="1"/>
    <xf numFmtId="181" fontId="12" fillId="0" borderId="1" xfId="0" applyNumberFormat="1" applyFont="1" applyFill="1" applyBorder="1" applyAlignment="1">
      <alignment horizontal="center" wrapText="1"/>
    </xf>
    <xf numFmtId="181" fontId="21" fillId="0" borderId="1" xfId="0" applyNumberFormat="1" applyFont="1" applyBorder="1" applyAlignment="1">
      <alignment wrapText="1"/>
    </xf>
    <xf numFmtId="181" fontId="12" fillId="0" borderId="1" xfId="0" applyNumberFormat="1" applyFont="1" applyBorder="1" applyAlignment="1">
      <alignment wrapText="1"/>
    </xf>
    <xf numFmtId="181" fontId="12" fillId="0" borderId="1" xfId="0" applyNumberFormat="1" applyFont="1" applyBorder="1" applyAlignment="1">
      <alignment horizontal="center" wrapText="1"/>
    </xf>
    <xf numFmtId="181" fontId="12" fillId="0" borderId="0" xfId="0" applyNumberFormat="1" applyFont="1" applyBorder="1" applyAlignment="1">
      <alignment wrapText="1"/>
    </xf>
    <xf numFmtId="181" fontId="45" fillId="0" borderId="0" xfId="0" applyNumberFormat="1" applyFont="1"/>
    <xf numFmtId="181" fontId="40" fillId="0" borderId="0" xfId="0" applyNumberFormat="1" applyFont="1"/>
    <xf numFmtId="181" fontId="8" fillId="0" borderId="2" xfId="0" applyNumberFormat="1" applyFont="1" applyBorder="1"/>
    <xf numFmtId="181" fontId="54" fillId="0" borderId="0" xfId="0" applyNumberFormat="1" applyFont="1"/>
    <xf numFmtId="181" fontId="39" fillId="0" borderId="1" xfId="0" applyNumberFormat="1" applyFont="1" applyBorder="1" applyAlignment="1">
      <alignment horizontal="center" wrapText="1"/>
    </xf>
    <xf numFmtId="181" fontId="21" fillId="0" borderId="0" xfId="0" applyNumberFormat="1" applyFont="1" applyBorder="1"/>
    <xf numFmtId="181" fontId="8" fillId="4" borderId="0" xfId="0" applyNumberFormat="1" applyFont="1" applyFill="1"/>
    <xf numFmtId="3" fontId="12" fillId="0" borderId="0" xfId="0" applyNumberFormat="1" applyFont="1" applyBorder="1" applyAlignment="1">
      <alignment horizontal="center" wrapText="1"/>
    </xf>
    <xf numFmtId="0" fontId="8" fillId="0" borderId="0" xfId="0" applyFont="1" applyBorder="1" applyAlignment="1">
      <alignment horizontal="center" vertical="center" wrapText="1"/>
    </xf>
    <xf numFmtId="3" fontId="12" fillId="3" borderId="0" xfId="0" applyNumberFormat="1" applyFont="1" applyFill="1" applyBorder="1" applyAlignment="1">
      <alignment wrapText="1"/>
    </xf>
    <xf numFmtId="0" fontId="14" fillId="0" borderId="4" xfId="0" applyNumberFormat="1" applyFont="1" applyFill="1" applyBorder="1" applyAlignment="1">
      <alignment vertical="top" wrapText="1"/>
    </xf>
    <xf numFmtId="179" fontId="8" fillId="0" borderId="0" xfId="10" applyNumberFormat="1" applyFont="1" applyFill="1" applyBorder="1" applyAlignment="1">
      <alignment horizontal="center" vertical="center" wrapText="1"/>
    </xf>
    <xf numFmtId="178" fontId="6" fillId="0" borderId="0" xfId="0" applyNumberFormat="1" applyFont="1" applyFill="1" applyBorder="1" applyAlignment="1">
      <alignment horizontal="left" wrapText="1"/>
    </xf>
    <xf numFmtId="0" fontId="59" fillId="0" borderId="1" xfId="0" applyFont="1" applyFill="1" applyBorder="1" applyAlignment="1">
      <alignment horizontal="left" vertical="center" wrapText="1"/>
    </xf>
    <xf numFmtId="0" fontId="8" fillId="0" borderId="1" xfId="0" applyFont="1" applyBorder="1" applyAlignment="1">
      <alignment horizontal="justify" wrapText="1"/>
    </xf>
    <xf numFmtId="178" fontId="8" fillId="0" borderId="1" xfId="0" applyNumberFormat="1" applyFont="1" applyBorder="1" applyAlignment="1">
      <alignment vertical="center" wrapText="1"/>
    </xf>
    <xf numFmtId="3" fontId="9" fillId="0" borderId="1" xfId="15" applyNumberFormat="1" applyFont="1" applyFill="1" applyBorder="1" applyAlignment="1">
      <alignment horizontal="center"/>
    </xf>
    <xf numFmtId="181" fontId="8" fillId="0" borderId="1" xfId="0" applyNumberFormat="1" applyFont="1" applyFill="1" applyBorder="1" applyAlignment="1">
      <alignment horizontal="right" vertical="center" wrapText="1"/>
    </xf>
    <xf numFmtId="181" fontId="8" fillId="0" borderId="1" xfId="0" applyNumberFormat="1" applyFont="1" applyFill="1" applyBorder="1" applyAlignment="1">
      <alignment horizontal="right" vertical="center"/>
    </xf>
    <xf numFmtId="178" fontId="8" fillId="0" borderId="1" xfId="0" applyNumberFormat="1" applyFont="1" applyFill="1" applyBorder="1" applyAlignment="1">
      <alignment horizontal="right" vertical="center"/>
    </xf>
    <xf numFmtId="0" fontId="58" fillId="0" borderId="1" xfId="0" applyNumberFormat="1" applyFont="1" applyFill="1" applyBorder="1" applyAlignment="1" applyProtection="1">
      <alignment horizontal="justify" vertical="center" wrapText="1"/>
    </xf>
    <xf numFmtId="3" fontId="14" fillId="0" borderId="1" xfId="5" applyNumberFormat="1" applyFont="1" applyFill="1" applyBorder="1"/>
    <xf numFmtId="179" fontId="8" fillId="0" borderId="1" xfId="10" applyNumberFormat="1" applyFont="1" applyFill="1" applyBorder="1" applyAlignment="1">
      <alignment horizontal="center" vertical="center" wrapText="1"/>
    </xf>
    <xf numFmtId="181" fontId="21" fillId="0" borderId="3" xfId="0" applyNumberFormat="1" applyFont="1" applyBorder="1" applyAlignment="1">
      <alignment wrapText="1"/>
    </xf>
    <xf numFmtId="181" fontId="12" fillId="0" borderId="3" xfId="0" applyNumberFormat="1" applyFont="1" applyBorder="1" applyAlignment="1">
      <alignment wrapText="1"/>
    </xf>
    <xf numFmtId="181" fontId="12" fillId="0" borderId="3" xfId="0" applyNumberFormat="1" applyFont="1" applyBorder="1" applyAlignment="1">
      <alignment horizontal="center" wrapText="1"/>
    </xf>
    <xf numFmtId="181" fontId="8" fillId="0" borderId="3" xfId="10" applyNumberFormat="1" applyFont="1" applyFill="1" applyBorder="1" applyAlignment="1">
      <alignment horizontal="center" vertical="center" wrapText="1"/>
    </xf>
    <xf numFmtId="181" fontId="8" fillId="0" borderId="3" xfId="0" applyNumberFormat="1" applyFont="1" applyBorder="1"/>
    <xf numFmtId="181" fontId="39" fillId="0" borderId="3" xfId="0" applyNumberFormat="1" applyFont="1" applyBorder="1" applyAlignment="1">
      <alignment horizontal="center" wrapText="1"/>
    </xf>
    <xf numFmtId="181" fontId="12" fillId="0" borderId="3" xfId="0" applyNumberFormat="1" applyFont="1" applyFill="1" applyBorder="1" applyAlignment="1">
      <alignment horizontal="center" wrapText="1"/>
    </xf>
    <xf numFmtId="0" fontId="8" fillId="0" borderId="4"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8" fillId="0" borderId="4" xfId="0" applyFont="1" applyFill="1" applyBorder="1" applyAlignment="1">
      <alignment horizontal="justify" vertical="center" wrapText="1"/>
    </xf>
    <xf numFmtId="0" fontId="12" fillId="0" borderId="4" xfId="0" applyFont="1" applyBorder="1" applyAlignment="1">
      <alignment wrapText="1"/>
    </xf>
    <xf numFmtId="0" fontId="8" fillId="0" borderId="6" xfId="12" applyFont="1" applyFill="1" applyBorder="1" applyAlignment="1">
      <alignment horizontal="left" vertical="center" wrapText="1"/>
    </xf>
    <xf numFmtId="0" fontId="8" fillId="0" borderId="6" xfId="0" applyFont="1" applyFill="1" applyBorder="1" applyAlignment="1">
      <alignment horizontal="left" vertical="center" wrapText="1"/>
    </xf>
    <xf numFmtId="0" fontId="58" fillId="0" borderId="6" xfId="0" applyNumberFormat="1" applyFont="1" applyFill="1" applyBorder="1" applyAlignment="1" applyProtection="1">
      <alignment horizontal="justify" vertical="center" wrapText="1"/>
    </xf>
    <xf numFmtId="181" fontId="8" fillId="0" borderId="6" xfId="0" applyNumberFormat="1" applyFont="1" applyFill="1" applyBorder="1" applyAlignment="1">
      <alignment horizontal="right"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left" vertical="center" wrapText="1"/>
    </xf>
    <xf numFmtId="0" fontId="8" fillId="0" borderId="6" xfId="0" applyFont="1" applyBorder="1" applyAlignment="1">
      <alignment horizontal="center" vertical="center" wrapText="1"/>
    </xf>
    <xf numFmtId="49" fontId="14" fillId="0" borderId="1" xfId="0" applyNumberFormat="1" applyFont="1" applyBorder="1" applyAlignment="1">
      <alignment horizontal="center" vertical="top"/>
    </xf>
    <xf numFmtId="49" fontId="14" fillId="0" borderId="4" xfId="0" applyNumberFormat="1" applyFont="1" applyFill="1" applyBorder="1" applyAlignment="1">
      <alignment horizontal="center" vertical="top"/>
    </xf>
    <xf numFmtId="49" fontId="19" fillId="0" borderId="0" xfId="0" applyNumberFormat="1" applyFont="1" applyFill="1"/>
    <xf numFmtId="49" fontId="21" fillId="5" borderId="6" xfId="0" applyNumberFormat="1" applyFont="1" applyFill="1" applyBorder="1" applyAlignment="1">
      <alignment horizontal="center" vertical="top" wrapText="1"/>
    </xf>
    <xf numFmtId="0" fontId="21" fillId="5" borderId="6" xfId="0" applyFont="1" applyFill="1" applyBorder="1" applyAlignment="1">
      <alignment horizontal="left" vertical="top" wrapText="1" shrinkToFit="1"/>
    </xf>
    <xf numFmtId="4" fontId="2" fillId="5" borderId="0" xfId="0" applyNumberFormat="1" applyFont="1" applyFill="1" applyBorder="1"/>
    <xf numFmtId="49" fontId="21" fillId="5" borderId="1" xfId="0" applyNumberFormat="1" applyFont="1" applyFill="1" applyBorder="1" applyAlignment="1">
      <alignment horizontal="center" vertical="top" wrapText="1"/>
    </xf>
    <xf numFmtId="0" fontId="21" fillId="5" borderId="1" xfId="0" applyFont="1" applyFill="1" applyBorder="1" applyAlignment="1">
      <alignment horizontal="left" vertical="top" wrapText="1" shrinkToFit="1"/>
    </xf>
    <xf numFmtId="49" fontId="21" fillId="5" borderId="1" xfId="0" applyNumberFormat="1" applyFont="1" applyFill="1" applyBorder="1" applyAlignment="1">
      <alignment horizontal="center" vertical="top"/>
    </xf>
    <xf numFmtId="49" fontId="14" fillId="5" borderId="1" xfId="0" applyNumberFormat="1" applyFont="1" applyFill="1" applyBorder="1" applyAlignment="1">
      <alignment horizontal="center" vertical="top"/>
    </xf>
    <xf numFmtId="0" fontId="19" fillId="5" borderId="0" xfId="0" applyFont="1" applyFill="1"/>
    <xf numFmtId="0" fontId="19" fillId="5" borderId="0" xfId="0" applyFont="1" applyFill="1" applyBorder="1"/>
    <xf numFmtId="0" fontId="21" fillId="5" borderId="1" xfId="0" applyFont="1" applyFill="1" applyBorder="1" applyAlignment="1">
      <alignment horizontal="left" vertical="top"/>
    </xf>
    <xf numFmtId="0" fontId="22" fillId="0" borderId="1" xfId="0" applyFont="1" applyFill="1" applyBorder="1" applyAlignment="1">
      <alignment horizontal="center" vertical="top"/>
    </xf>
    <xf numFmtId="49" fontId="22" fillId="0" borderId="1" xfId="0" applyNumberFormat="1" applyFont="1" applyFill="1" applyBorder="1" applyAlignment="1">
      <alignment horizontal="center" vertical="top"/>
    </xf>
    <xf numFmtId="0" fontId="48" fillId="0" borderId="0" xfId="0" applyFont="1" applyFill="1" applyBorder="1"/>
    <xf numFmtId="0" fontId="22" fillId="0" borderId="1" xfId="0" applyFont="1" applyBorder="1" applyAlignment="1">
      <alignment vertical="top" wrapText="1"/>
    </xf>
    <xf numFmtId="49" fontId="22" fillId="0" borderId="2" xfId="0" applyNumberFormat="1" applyFont="1" applyFill="1" applyBorder="1" applyAlignment="1">
      <alignment horizontal="center" vertical="top"/>
    </xf>
    <xf numFmtId="0" fontId="22" fillId="0" borderId="1" xfId="0" applyFont="1" applyBorder="1" applyAlignment="1">
      <alignment horizontal="justify" wrapText="1"/>
    </xf>
    <xf numFmtId="0" fontId="48" fillId="0" borderId="0" xfId="0" applyFont="1" applyFill="1"/>
    <xf numFmtId="0" fontId="60" fillId="0" borderId="0" xfId="0" applyFont="1" applyFill="1" applyBorder="1"/>
    <xf numFmtId="0" fontId="61" fillId="6" borderId="0" xfId="0" applyFont="1" applyFill="1"/>
    <xf numFmtId="49" fontId="61" fillId="6" borderId="0" xfId="0" applyNumberFormat="1" applyFont="1" applyFill="1"/>
    <xf numFmtId="0" fontId="61" fillId="6" borderId="0" xfId="0" applyFont="1" applyFill="1" applyBorder="1"/>
    <xf numFmtId="0" fontId="48" fillId="0" borderId="0" xfId="0" applyFont="1"/>
    <xf numFmtId="3" fontId="9" fillId="0" borderId="0" xfId="15" applyNumberFormat="1" applyFont="1" applyFill="1" applyBorder="1" applyAlignment="1">
      <alignment horizontal="center"/>
    </xf>
    <xf numFmtId="0" fontId="63" fillId="0" borderId="0" xfId="0" applyFont="1" applyAlignment="1">
      <alignment horizontal="right"/>
    </xf>
    <xf numFmtId="3" fontId="63" fillId="0" borderId="0" xfId="0" applyNumberFormat="1" applyFont="1" applyAlignment="1">
      <alignment horizontal="right"/>
    </xf>
    <xf numFmtId="0" fontId="14" fillId="0" borderId="1" xfId="0" applyFont="1" applyFill="1" applyBorder="1" applyAlignment="1">
      <alignment vertical="top" wrapText="1" shrinkToFit="1"/>
    </xf>
    <xf numFmtId="0" fontId="8" fillId="0" borderId="0" xfId="0" applyFont="1" applyAlignment="1">
      <alignment vertical="center" wrapText="1"/>
    </xf>
    <xf numFmtId="3" fontId="21" fillId="5" borderId="1" xfId="0" applyNumberFormat="1" applyFont="1" applyFill="1" applyBorder="1" applyAlignment="1">
      <alignment vertical="top"/>
    </xf>
    <xf numFmtId="0" fontId="12" fillId="0" borderId="0" xfId="0" applyFont="1" applyAlignment="1">
      <alignment vertical="center"/>
    </xf>
    <xf numFmtId="0" fontId="36" fillId="0" borderId="0" xfId="0" applyFont="1" applyAlignment="1">
      <alignment horizontal="right"/>
    </xf>
    <xf numFmtId="3" fontId="36" fillId="0" borderId="0" xfId="0" applyNumberFormat="1" applyFont="1" applyAlignment="1">
      <alignment horizontal="right"/>
    </xf>
    <xf numFmtId="4" fontId="35" fillId="0" borderId="0" xfId="0" applyNumberFormat="1" applyFont="1" applyFill="1"/>
    <xf numFmtId="4" fontId="19" fillId="0" borderId="0" xfId="0" applyNumberFormat="1" applyFont="1" applyFill="1"/>
    <xf numFmtId="3" fontId="21" fillId="5" borderId="6" xfId="0" applyNumberFormat="1" applyFont="1" applyFill="1" applyBorder="1" applyAlignment="1">
      <alignment vertical="top"/>
    </xf>
    <xf numFmtId="3" fontId="14" fillId="0" borderId="1" xfId="0" applyNumberFormat="1" applyFont="1" applyFill="1" applyBorder="1" applyAlignment="1">
      <alignment vertical="top"/>
    </xf>
    <xf numFmtId="4" fontId="14" fillId="0" borderId="1" xfId="0" applyNumberFormat="1" applyFont="1" applyFill="1" applyBorder="1" applyAlignment="1">
      <alignment vertical="top"/>
    </xf>
    <xf numFmtId="3" fontId="31" fillId="0" borderId="1" xfId="0" applyNumberFormat="1" applyFont="1" applyFill="1" applyBorder="1" applyAlignment="1">
      <alignment vertical="top"/>
    </xf>
    <xf numFmtId="3" fontId="22" fillId="0" borderId="1" xfId="0" applyNumberFormat="1" applyFont="1" applyFill="1" applyBorder="1" applyAlignment="1">
      <alignment vertical="top"/>
    </xf>
    <xf numFmtId="4" fontId="21" fillId="5" borderId="1" xfId="0" applyNumberFormat="1" applyFont="1" applyFill="1" applyBorder="1" applyAlignment="1">
      <alignment vertical="top"/>
    </xf>
    <xf numFmtId="3" fontId="22" fillId="0" borderId="3" xfId="0" applyNumberFormat="1" applyFont="1" applyFill="1" applyBorder="1" applyAlignment="1">
      <alignment vertical="top"/>
    </xf>
    <xf numFmtId="3" fontId="22" fillId="0" borderId="1" xfId="0" applyNumberFormat="1" applyFont="1" applyFill="1" applyBorder="1" applyAlignment="1">
      <alignment vertical="top" wrapText="1"/>
    </xf>
    <xf numFmtId="3" fontId="14" fillId="0" borderId="1" xfId="0" applyNumberFormat="1" applyFont="1" applyFill="1" applyBorder="1" applyAlignment="1">
      <alignment vertical="top" wrapText="1"/>
    </xf>
    <xf numFmtId="4" fontId="33" fillId="5" borderId="1" xfId="0" applyNumberFormat="1" applyFont="1" applyFill="1" applyBorder="1" applyAlignment="1">
      <alignment vertical="top"/>
    </xf>
    <xf numFmtId="4" fontId="31" fillId="0" borderId="1" xfId="0" applyNumberFormat="1" applyFont="1" applyFill="1" applyBorder="1" applyAlignment="1">
      <alignment vertical="top"/>
    </xf>
    <xf numFmtId="3" fontId="21" fillId="0" borderId="1" xfId="0" applyNumberFormat="1" applyFont="1" applyFill="1" applyBorder="1" applyAlignment="1">
      <alignment vertical="top"/>
    </xf>
    <xf numFmtId="3" fontId="14" fillId="0" borderId="2" xfId="0" applyNumberFormat="1" applyFont="1" applyFill="1" applyBorder="1" applyAlignment="1">
      <alignment vertical="top"/>
    </xf>
    <xf numFmtId="3" fontId="22" fillId="0" borderId="2" xfId="0" applyNumberFormat="1" applyFont="1" applyFill="1" applyBorder="1" applyAlignment="1">
      <alignment vertical="top"/>
    </xf>
    <xf numFmtId="3" fontId="14" fillId="0" borderId="2" xfId="0" applyNumberFormat="1" applyFont="1" applyFill="1" applyBorder="1" applyAlignment="1">
      <alignment vertical="top" wrapText="1"/>
    </xf>
    <xf numFmtId="3" fontId="38" fillId="0" borderId="1" xfId="0" applyNumberFormat="1" applyFont="1" applyFill="1" applyBorder="1" applyAlignment="1">
      <alignment vertical="top"/>
    </xf>
    <xf numFmtId="0" fontId="14" fillId="0" borderId="1" xfId="5" applyFont="1" applyFill="1" applyBorder="1" applyAlignment="1">
      <alignment horizontal="center" vertical="justify"/>
    </xf>
    <xf numFmtId="3" fontId="12" fillId="0" borderId="1" xfId="0" applyNumberFormat="1" applyFont="1" applyFill="1" applyBorder="1" applyAlignment="1">
      <alignment horizontal="center" wrapText="1"/>
    </xf>
    <xf numFmtId="0" fontId="8" fillId="0" borderId="0" xfId="0" applyFont="1" applyFill="1" applyBorder="1"/>
    <xf numFmtId="0" fontId="14" fillId="0" borderId="1" xfId="8" applyFont="1" applyFill="1" applyBorder="1" applyAlignment="1">
      <alignment horizontal="justify" vertical="top" wrapText="1"/>
    </xf>
    <xf numFmtId="181" fontId="12" fillId="7" borderId="3" xfId="0" applyNumberFormat="1" applyFont="1" applyFill="1" applyBorder="1" applyAlignment="1">
      <alignment horizontal="center" wrapText="1"/>
    </xf>
    <xf numFmtId="181" fontId="12" fillId="7" borderId="1" xfId="0" applyNumberFormat="1" applyFont="1" applyFill="1" applyBorder="1" applyAlignment="1">
      <alignment horizontal="center" wrapText="1"/>
    </xf>
    <xf numFmtId="0" fontId="8" fillId="7" borderId="0" xfId="0" applyFont="1" applyFill="1"/>
    <xf numFmtId="2" fontId="14" fillId="0" borderId="1" xfId="0" applyNumberFormat="1" applyFont="1" applyFill="1" applyBorder="1" applyAlignment="1">
      <alignment vertical="top"/>
    </xf>
    <xf numFmtId="4" fontId="21" fillId="0" borderId="1" xfId="5" applyNumberFormat="1" applyFont="1" applyBorder="1"/>
    <xf numFmtId="0" fontId="19" fillId="0" borderId="0" xfId="5" applyFont="1"/>
    <xf numFmtId="0" fontId="12" fillId="0" borderId="0" xfId="0" applyFont="1" applyAlignment="1">
      <alignment wrapText="1"/>
    </xf>
    <xf numFmtId="0" fontId="8" fillId="0" borderId="1" xfId="8" applyFont="1" applyFill="1" applyBorder="1" applyAlignment="1">
      <alignment horizontal="left" vertical="center" wrapText="1"/>
    </xf>
    <xf numFmtId="0" fontId="64" fillId="0" borderId="1" xfId="0" applyFont="1" applyFill="1" applyBorder="1" applyAlignment="1">
      <alignment horizontal="left" vertical="center" wrapText="1"/>
    </xf>
    <xf numFmtId="0" fontId="45" fillId="0" borderId="1" xfId="8" applyFont="1" applyFill="1" applyBorder="1" applyAlignment="1">
      <alignment horizontal="left" vertical="center" wrapText="1"/>
    </xf>
    <xf numFmtId="0" fontId="45" fillId="0" borderId="1" xfId="8" applyFont="1" applyFill="1" applyBorder="1" applyAlignment="1">
      <alignment horizontal="justify" vertical="top" wrapText="1"/>
    </xf>
    <xf numFmtId="0" fontId="14" fillId="0" borderId="8" xfId="0" applyFont="1" applyBorder="1" applyAlignment="1">
      <alignment horizontal="center" vertical="top" wrapText="1"/>
    </xf>
    <xf numFmtId="0" fontId="14" fillId="0" borderId="8" xfId="0" applyFont="1" applyBorder="1" applyAlignment="1">
      <alignment vertical="top" wrapText="1"/>
    </xf>
    <xf numFmtId="181" fontId="64" fillId="0" borderId="0" xfId="0" applyNumberFormat="1" applyFont="1"/>
    <xf numFmtId="0" fontId="64" fillId="0" borderId="0" xfId="0" applyFont="1" applyFill="1"/>
    <xf numFmtId="0" fontId="64" fillId="0" borderId="0" xfId="0" applyFont="1"/>
    <xf numFmtId="0" fontId="21" fillId="0" borderId="1" xfId="12" applyFont="1" applyBorder="1" applyAlignment="1">
      <alignment horizontal="left" wrapText="1"/>
    </xf>
    <xf numFmtId="0" fontId="66" fillId="0" borderId="1" xfId="0" applyFont="1" applyFill="1" applyBorder="1" applyAlignment="1">
      <alignment horizontal="left" vertical="center" wrapText="1"/>
    </xf>
    <xf numFmtId="0" fontId="67" fillId="0" borderId="1" xfId="0" applyFont="1" applyFill="1" applyBorder="1" applyAlignment="1">
      <alignment horizontal="left" vertical="center" wrapText="1"/>
    </xf>
    <xf numFmtId="181" fontId="67" fillId="0" borderId="0" xfId="0" applyNumberFormat="1" applyFont="1"/>
    <xf numFmtId="0" fontId="67" fillId="0" borderId="0" xfId="0" applyFont="1"/>
    <xf numFmtId="2" fontId="12" fillId="0" borderId="0" xfId="0" applyNumberFormat="1" applyFont="1" applyBorder="1" applyAlignment="1">
      <alignment horizontal="center"/>
    </xf>
    <xf numFmtId="0" fontId="66" fillId="3" borderId="1" xfId="0" applyFont="1" applyFill="1" applyBorder="1" applyAlignment="1">
      <alignment horizontal="left" vertical="center" wrapText="1"/>
    </xf>
    <xf numFmtId="0" fontId="66" fillId="2" borderId="1" xfId="0" applyFont="1" applyFill="1" applyBorder="1" applyAlignment="1">
      <alignment horizontal="left" vertical="center" wrapText="1"/>
    </xf>
    <xf numFmtId="0" fontId="68" fillId="0" borderId="1" xfId="0" applyFont="1" applyFill="1" applyBorder="1" applyAlignment="1">
      <alignment horizontal="left" vertical="center" wrapText="1"/>
    </xf>
    <xf numFmtId="181" fontId="37" fillId="0" borderId="1" xfId="0" applyNumberFormat="1" applyFont="1" applyBorder="1" applyAlignment="1">
      <alignment wrapText="1"/>
    </xf>
    <xf numFmtId="0" fontId="8" fillId="0" borderId="0" xfId="0" applyFont="1" applyFill="1" applyBorder="1" applyAlignment="1">
      <alignment horizontal="center" vertical="center"/>
    </xf>
    <xf numFmtId="0" fontId="12" fillId="0" borderId="0" xfId="0" applyFont="1" applyBorder="1" applyAlignment="1">
      <alignment horizontal="left" wrapText="1"/>
    </xf>
    <xf numFmtId="4" fontId="12" fillId="0" borderId="0" xfId="15" applyNumberFormat="1" applyFont="1" applyBorder="1" applyAlignment="1">
      <alignment horizontal="center"/>
    </xf>
    <xf numFmtId="3" fontId="12" fillId="0" borderId="0" xfId="15" applyNumberFormat="1" applyFont="1" applyFill="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3" fontId="56" fillId="0" borderId="0" xfId="0" applyNumberFormat="1" applyFont="1" applyBorder="1"/>
    <xf numFmtId="0" fontId="8" fillId="0" borderId="0" xfId="0" applyFont="1" applyFill="1" applyBorder="1" applyAlignment="1">
      <alignment wrapText="1"/>
    </xf>
    <xf numFmtId="0" fontId="86" fillId="0" borderId="1" xfId="0" applyFont="1" applyFill="1" applyBorder="1" applyAlignment="1">
      <alignment horizontal="left" vertical="center" wrapText="1"/>
    </xf>
    <xf numFmtId="0" fontId="86" fillId="0" borderId="1" xfId="10" applyFont="1" applyFill="1" applyBorder="1" applyAlignment="1">
      <alignment horizontal="left" vertical="center" wrapText="1"/>
    </xf>
    <xf numFmtId="0" fontId="87" fillId="0" borderId="1" xfId="0" applyFont="1" applyFill="1" applyBorder="1" applyAlignment="1">
      <alignment horizontal="left" vertical="center" wrapText="1"/>
    </xf>
    <xf numFmtId="3" fontId="87" fillId="0" borderId="1" xfId="0" applyNumberFormat="1" applyFont="1" applyFill="1" applyBorder="1" applyAlignment="1">
      <alignment horizontal="center" vertical="center"/>
    </xf>
    <xf numFmtId="181" fontId="88" fillId="0" borderId="0" xfId="0" applyNumberFormat="1" applyFont="1" applyBorder="1" applyAlignment="1">
      <alignment wrapText="1"/>
    </xf>
    <xf numFmtId="0" fontId="87" fillId="0" borderId="0" xfId="0" applyFont="1" applyFill="1"/>
    <xf numFmtId="181" fontId="87" fillId="0" borderId="0" xfId="0" applyNumberFormat="1" applyFont="1"/>
    <xf numFmtId="0" fontId="87" fillId="0" borderId="0" xfId="0" applyFont="1"/>
    <xf numFmtId="181" fontId="88" fillId="0" borderId="3" xfId="0" applyNumberFormat="1" applyFont="1" applyFill="1" applyBorder="1" applyAlignment="1">
      <alignment horizontal="center" wrapText="1"/>
    </xf>
    <xf numFmtId="181" fontId="88" fillId="0" borderId="1" xfId="0" applyNumberFormat="1" applyFont="1" applyFill="1" applyBorder="1" applyAlignment="1">
      <alignment horizontal="center" wrapText="1"/>
    </xf>
    <xf numFmtId="4" fontId="8" fillId="0" borderId="1" xfId="0" applyNumberFormat="1" applyFont="1" applyFill="1" applyBorder="1" applyAlignment="1">
      <alignment horizontal="center"/>
    </xf>
    <xf numFmtId="4" fontId="12" fillId="0" borderId="1" xfId="0" applyNumberFormat="1" applyFont="1" applyFill="1" applyBorder="1" applyAlignment="1">
      <alignment horizontal="center" wrapText="1"/>
    </xf>
    <xf numFmtId="0" fontId="89" fillId="0" borderId="1" xfId="0" applyFont="1" applyBorder="1" applyAlignment="1">
      <alignment horizontal="center"/>
    </xf>
    <xf numFmtId="0" fontId="90" fillId="0" borderId="1" xfId="0" applyNumberFormat="1" applyFont="1" applyFill="1" applyBorder="1" applyAlignment="1" applyProtection="1">
      <alignment horizontal="justify" vertical="center"/>
    </xf>
    <xf numFmtId="3" fontId="87" fillId="0" borderId="3" xfId="0" applyNumberFormat="1" applyFont="1" applyFill="1" applyBorder="1" applyAlignment="1">
      <alignment horizontal="center" vertical="center"/>
    </xf>
    <xf numFmtId="0" fontId="91" fillId="0" borderId="1" xfId="0" applyFont="1" applyFill="1" applyBorder="1" applyAlignment="1">
      <alignment horizontal="left" vertical="center" wrapText="1"/>
    </xf>
    <xf numFmtId="0" fontId="92" fillId="0" borderId="1" xfId="0" applyFont="1" applyFill="1" applyBorder="1" applyAlignment="1">
      <alignment horizontal="left" vertical="center" wrapText="1"/>
    </xf>
    <xf numFmtId="0" fontId="92" fillId="0" borderId="4" xfId="0" applyFont="1" applyFill="1" applyBorder="1" applyAlignment="1">
      <alignment horizontal="left" vertical="center" wrapText="1"/>
    </xf>
    <xf numFmtId="0" fontId="92" fillId="8" borderId="1" xfId="0" applyFont="1" applyFill="1" applyBorder="1" applyAlignment="1">
      <alignment horizontal="left" vertical="center" wrapText="1"/>
    </xf>
    <xf numFmtId="0" fontId="93" fillId="0" borderId="0" xfId="0" applyFont="1"/>
    <xf numFmtId="181" fontId="94" fillId="0" borderId="0" xfId="0" applyNumberFormat="1" applyFont="1"/>
    <xf numFmtId="0" fontId="94" fillId="0" borderId="1" xfId="0" applyFont="1" applyFill="1" applyBorder="1" applyAlignment="1">
      <alignment horizontal="left" vertical="center" wrapText="1"/>
    </xf>
    <xf numFmtId="0" fontId="94" fillId="0" borderId="0" xfId="0" applyFont="1"/>
    <xf numFmtId="0" fontId="40" fillId="0" borderId="1" xfId="0" applyFont="1" applyBorder="1"/>
    <xf numFmtId="0" fontId="95" fillId="0" borderId="1" xfId="0" applyNumberFormat="1" applyFont="1" applyFill="1" applyBorder="1" applyAlignment="1" applyProtection="1">
      <alignment horizontal="justify" vertical="center"/>
    </xf>
    <xf numFmtId="4" fontId="10" fillId="0" borderId="0" xfId="5" applyNumberFormat="1" applyFont="1"/>
    <xf numFmtId="4" fontId="8" fillId="0" borderId="0" xfId="0" applyNumberFormat="1" applyFont="1" applyFill="1"/>
    <xf numFmtId="0" fontId="8" fillId="0" borderId="0" xfId="0" applyFont="1" applyFill="1" applyAlignment="1">
      <alignment horizontal="centerContinuous"/>
    </xf>
    <xf numFmtId="0" fontId="8" fillId="0" borderId="0" xfId="0" applyFont="1" applyFill="1" applyAlignment="1">
      <alignment horizontal="left"/>
    </xf>
    <xf numFmtId="0" fontId="12" fillId="0" borderId="0" xfId="0" applyFont="1" applyFill="1" applyBorder="1" applyAlignment="1">
      <alignment horizontal="center"/>
    </xf>
    <xf numFmtId="0" fontId="92" fillId="0" borderId="1" xfId="0" applyFont="1" applyBorder="1" applyAlignment="1">
      <alignment wrapText="1"/>
    </xf>
    <xf numFmtId="0" fontId="94" fillId="0" borderId="1" xfId="8" applyFont="1" applyFill="1" applyBorder="1" applyAlignment="1">
      <alignment horizontal="left" vertical="center" wrapText="1"/>
    </xf>
    <xf numFmtId="0" fontId="94" fillId="8" borderId="1" xfId="8" applyFont="1" applyFill="1" applyBorder="1" applyAlignment="1">
      <alignment horizontal="left" vertical="center" wrapText="1"/>
    </xf>
    <xf numFmtId="0" fontId="94" fillId="0" borderId="1" xfId="8" applyFont="1" applyFill="1" applyBorder="1" applyAlignment="1">
      <alignment horizontal="justify" vertical="center" wrapText="1"/>
    </xf>
    <xf numFmtId="0" fontId="96" fillId="0" borderId="1" xfId="0" applyNumberFormat="1" applyFont="1" applyFill="1" applyBorder="1" applyAlignment="1" applyProtection="1">
      <alignment horizontal="justify" vertical="center"/>
    </xf>
    <xf numFmtId="0" fontId="67" fillId="0" borderId="6" xfId="0" applyFont="1" applyFill="1" applyBorder="1" applyAlignment="1">
      <alignment horizontal="left" vertical="center" wrapText="1"/>
    </xf>
    <xf numFmtId="0" fontId="68" fillId="0" borderId="1" xfId="8" applyFont="1" applyFill="1" applyBorder="1" applyAlignment="1">
      <alignment horizontal="justify" vertical="center" wrapText="1"/>
    </xf>
    <xf numFmtId="0" fontId="94" fillId="8" borderId="1" xfId="0" applyFont="1" applyFill="1" applyBorder="1" applyAlignment="1">
      <alignment horizontal="left" vertical="center" wrapText="1"/>
    </xf>
    <xf numFmtId="0" fontId="14" fillId="8" borderId="1" xfId="0" applyFont="1" applyFill="1" applyBorder="1" applyAlignment="1">
      <alignment vertical="top" wrapText="1" shrinkToFit="1"/>
    </xf>
    <xf numFmtId="0" fontId="0" fillId="8" borderId="0" xfId="0" applyFill="1"/>
    <xf numFmtId="3" fontId="12" fillId="9" borderId="0" xfId="0" applyNumberFormat="1" applyFont="1" applyFill="1" applyBorder="1" applyAlignment="1">
      <alignment wrapText="1"/>
    </xf>
    <xf numFmtId="3" fontId="8" fillId="9" borderId="0" xfId="0" applyNumberFormat="1" applyFont="1" applyFill="1"/>
    <xf numFmtId="0" fontId="8" fillId="9" borderId="0" xfId="0" applyFont="1" applyFill="1"/>
    <xf numFmtId="3" fontId="8" fillId="9" borderId="1" xfId="10" applyNumberFormat="1" applyFont="1" applyFill="1" applyBorder="1" applyAlignment="1">
      <alignment horizontal="center" vertical="center" wrapText="1"/>
    </xf>
    <xf numFmtId="3" fontId="12" fillId="9" borderId="0" xfId="0" applyNumberFormat="1" applyFont="1" applyFill="1" applyBorder="1" applyAlignment="1">
      <alignment horizontal="center" wrapText="1"/>
    </xf>
    <xf numFmtId="0" fontId="8" fillId="8" borderId="1" xfId="0" applyFont="1" applyFill="1" applyBorder="1" applyAlignment="1">
      <alignment horizontal="left" wrapText="1"/>
    </xf>
    <xf numFmtId="3" fontId="8" fillId="8" borderId="1" xfId="0" applyNumberFormat="1" applyFont="1" applyFill="1" applyBorder="1" applyAlignment="1">
      <alignment horizontal="center" wrapText="1"/>
    </xf>
    <xf numFmtId="3" fontId="12" fillId="8" borderId="0" xfId="0" applyNumberFormat="1" applyFont="1" applyFill="1" applyBorder="1" applyAlignment="1">
      <alignment horizontal="center" wrapText="1"/>
    </xf>
    <xf numFmtId="3" fontId="8" fillId="8" borderId="0" xfId="0" applyNumberFormat="1" applyFont="1" applyFill="1"/>
    <xf numFmtId="0" fontId="8" fillId="8" borderId="0" xfId="0" applyFont="1" applyFill="1"/>
    <xf numFmtId="0" fontId="5" fillId="8" borderId="0" xfId="0" applyFont="1" applyFill="1" applyAlignment="1">
      <alignment horizontal="centerContinuous"/>
    </xf>
    <xf numFmtId="0" fontId="8" fillId="8" borderId="0" xfId="0" applyFont="1" applyFill="1" applyAlignment="1"/>
    <xf numFmtId="0" fontId="5" fillId="8" borderId="0" xfId="0" applyFont="1" applyFill="1" applyAlignment="1">
      <alignment horizontal="left"/>
    </xf>
    <xf numFmtId="0" fontId="7" fillId="8" borderId="0" xfId="0" applyFont="1" applyFill="1" applyBorder="1" applyAlignment="1">
      <alignment horizontal="center"/>
    </xf>
    <xf numFmtId="0" fontId="8" fillId="8" borderId="1" xfId="0" applyFont="1" applyFill="1" applyBorder="1" applyAlignment="1">
      <alignment horizontal="center" vertical="top" wrapText="1"/>
    </xf>
    <xf numFmtId="0" fontId="8" fillId="8" borderId="1" xfId="0" applyFont="1" applyFill="1" applyBorder="1" applyAlignment="1">
      <alignment wrapText="1"/>
    </xf>
    <xf numFmtId="0" fontId="8" fillId="8"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8" fillId="8" borderId="1" xfId="12" applyFont="1" applyFill="1" applyBorder="1" applyAlignment="1">
      <alignment horizontal="left" vertical="center" wrapText="1"/>
    </xf>
    <xf numFmtId="0" fontId="12" fillId="8" borderId="1" xfId="0" applyFont="1" applyFill="1" applyBorder="1" applyAlignment="1">
      <alignment wrapText="1"/>
    </xf>
    <xf numFmtId="3" fontId="12" fillId="8" borderId="1" xfId="0" applyNumberFormat="1" applyFont="1" applyFill="1" applyBorder="1" applyAlignment="1">
      <alignment horizontal="center" wrapText="1"/>
    </xf>
    <xf numFmtId="1" fontId="12" fillId="8" borderId="1" xfId="0" applyNumberFormat="1" applyFont="1" applyFill="1" applyBorder="1" applyAlignment="1">
      <alignment wrapText="1"/>
    </xf>
    <xf numFmtId="0" fontId="64" fillId="8" borderId="1" xfId="0" applyFont="1" applyFill="1" applyBorder="1" applyAlignment="1">
      <alignment horizontal="left" vertical="center" wrapText="1"/>
    </xf>
    <xf numFmtId="0" fontId="8" fillId="8" borderId="1" xfId="0" applyFont="1" applyFill="1" applyBorder="1" applyAlignment="1">
      <alignment horizontal="justify" vertical="center" wrapText="1"/>
    </xf>
    <xf numFmtId="0" fontId="8" fillId="8" borderId="1" xfId="0" applyFont="1" applyFill="1" applyBorder="1" applyAlignment="1">
      <alignment horizontal="justify" wrapText="1"/>
    </xf>
    <xf numFmtId="0" fontId="12" fillId="8" borderId="0" xfId="0" applyFont="1" applyFill="1" applyBorder="1" applyAlignment="1">
      <alignment wrapText="1"/>
    </xf>
    <xf numFmtId="0" fontId="8" fillId="8" borderId="0" xfId="5" applyFont="1" applyFill="1" applyBorder="1"/>
    <xf numFmtId="0" fontId="24" fillId="8" borderId="0" xfId="5" applyFont="1" applyFill="1"/>
    <xf numFmtId="0" fontId="12" fillId="8" borderId="0" xfId="5" applyFont="1" applyFill="1" applyBorder="1"/>
    <xf numFmtId="0" fontId="12" fillId="8" borderId="0" xfId="0" applyFont="1" applyFill="1"/>
    <xf numFmtId="3" fontId="12" fillId="8" borderId="0" xfId="0" applyNumberFormat="1" applyFont="1" applyFill="1"/>
    <xf numFmtId="3" fontId="14" fillId="0" borderId="3" xfId="0" applyNumberFormat="1" applyFont="1" applyFill="1" applyBorder="1" applyAlignment="1">
      <alignment vertical="top"/>
    </xf>
    <xf numFmtId="49" fontId="22" fillId="0" borderId="4" xfId="0" applyNumberFormat="1" applyFont="1" applyFill="1" applyBorder="1" applyAlignment="1">
      <alignment horizontal="center" vertical="top"/>
    </xf>
    <xf numFmtId="0" fontId="22" fillId="8" borderId="1" xfId="0" applyFont="1" applyFill="1" applyBorder="1" applyAlignment="1">
      <alignment horizontal="left" vertical="top" wrapText="1" shrinkToFit="1"/>
    </xf>
    <xf numFmtId="3" fontId="22" fillId="0" borderId="1" xfId="0" applyNumberFormat="1" applyFont="1" applyFill="1" applyBorder="1" applyAlignment="1">
      <alignment horizontal="right" vertical="top" wrapText="1"/>
    </xf>
    <xf numFmtId="3" fontId="22" fillId="0" borderId="2" xfId="0" applyNumberFormat="1" applyFont="1" applyFill="1" applyBorder="1" applyAlignment="1">
      <alignment vertical="top" wrapText="1"/>
    </xf>
    <xf numFmtId="3" fontId="22" fillId="8" borderId="1" xfId="0" applyNumberFormat="1" applyFont="1" applyFill="1" applyBorder="1" applyAlignment="1">
      <alignment horizontal="right" vertical="top"/>
    </xf>
    <xf numFmtId="0" fontId="22" fillId="0" borderId="1" xfId="0" applyNumberFormat="1" applyFont="1" applyBorder="1" applyAlignment="1">
      <alignment vertical="top" wrapText="1"/>
    </xf>
    <xf numFmtId="3" fontId="22" fillId="0" borderId="4" xfId="0" applyNumberFormat="1" applyFont="1" applyFill="1" applyBorder="1" applyAlignment="1">
      <alignment horizontal="right" vertical="top"/>
    </xf>
    <xf numFmtId="3" fontId="22" fillId="0" borderId="5" xfId="0" applyNumberFormat="1" applyFont="1" applyFill="1" applyBorder="1" applyAlignment="1">
      <alignment horizontal="right" vertical="top"/>
    </xf>
    <xf numFmtId="0" fontId="70" fillId="0" borderId="0" xfId="0" applyFont="1" applyFill="1"/>
    <xf numFmtId="0" fontId="9" fillId="0" borderId="0" xfId="0" applyFont="1" applyBorder="1" applyAlignment="1">
      <alignment horizontal="center" wrapText="1"/>
    </xf>
    <xf numFmtId="0" fontId="14" fillId="0" borderId="4" xfId="0" applyFont="1" applyFill="1" applyBorder="1" applyAlignment="1">
      <alignment horizontal="center" vertical="top"/>
    </xf>
    <xf numFmtId="49" fontId="31" fillId="8" borderId="1" xfId="1" applyNumberFormat="1" applyFont="1" applyFill="1" applyBorder="1" applyAlignment="1">
      <alignment horizontal="center" vertical="center"/>
    </xf>
    <xf numFmtId="49" fontId="31" fillId="0" borderId="1" xfId="1" applyNumberFormat="1" applyFont="1" applyFill="1" applyBorder="1" applyAlignment="1">
      <alignment horizontal="center" vertical="center"/>
    </xf>
    <xf numFmtId="0" fontId="14" fillId="0" borderId="4" xfId="0" applyNumberFormat="1" applyFont="1" applyBorder="1" applyAlignment="1">
      <alignment vertical="top" wrapText="1"/>
    </xf>
    <xf numFmtId="0" fontId="0" fillId="0" borderId="0" xfId="0" applyFont="1" applyFill="1" applyBorder="1"/>
    <xf numFmtId="0" fontId="14" fillId="0" borderId="0" xfId="0" applyFont="1" applyAlignment="1">
      <alignment wrapText="1"/>
    </xf>
    <xf numFmtId="0" fontId="8" fillId="0" borderId="0" xfId="0" applyFont="1" applyAlignment="1">
      <alignment horizontal="justify" vertical="center"/>
    </xf>
    <xf numFmtId="0" fontId="67" fillId="0" borderId="0" xfId="0" applyFont="1" applyFill="1"/>
    <xf numFmtId="181" fontId="66" fillId="0" borderId="0" xfId="0" applyNumberFormat="1" applyFont="1"/>
    <xf numFmtId="0" fontId="66" fillId="0" borderId="0" xfId="0" applyFont="1" applyFill="1"/>
    <xf numFmtId="0" fontId="31" fillId="0" borderId="1" xfId="6" applyFont="1" applyFill="1" applyBorder="1" applyAlignment="1">
      <alignment vertical="top" wrapText="1"/>
    </xf>
    <xf numFmtId="0" fontId="14" fillId="8" borderId="1" xfId="5" applyFont="1" applyFill="1" applyBorder="1" applyAlignment="1">
      <alignment horizontal="center" vertical="justify"/>
    </xf>
    <xf numFmtId="0" fontId="14" fillId="8" borderId="1" xfId="12" applyNumberFormat="1" applyFont="1" applyFill="1" applyBorder="1" applyAlignment="1">
      <alignment vertical="top" wrapText="1"/>
    </xf>
    <xf numFmtId="0" fontId="14" fillId="8" borderId="1" xfId="5" applyFont="1" applyFill="1" applyBorder="1" applyAlignment="1">
      <alignment horizontal="center" vertical="top"/>
    </xf>
    <xf numFmtId="0" fontId="8" fillId="8" borderId="1" xfId="0" applyFont="1" applyFill="1" applyBorder="1" applyAlignment="1">
      <alignment horizontal="center" vertical="center"/>
    </xf>
    <xf numFmtId="0" fontId="12" fillId="8" borderId="1" xfId="0" applyFont="1" applyFill="1" applyBorder="1" applyAlignment="1">
      <alignment horizontal="left" wrapText="1"/>
    </xf>
    <xf numFmtId="0" fontId="22" fillId="0" borderId="1" xfId="0" applyFont="1" applyFill="1" applyBorder="1" applyAlignment="1">
      <alignment horizontal="justify" vertical="center" wrapText="1"/>
    </xf>
    <xf numFmtId="0" fontId="97" fillId="0" borderId="1" xfId="6" applyFont="1" applyFill="1" applyBorder="1" applyAlignment="1">
      <alignment vertical="center" wrapText="1"/>
    </xf>
    <xf numFmtId="0" fontId="31" fillId="8" borderId="1" xfId="6" applyFont="1" applyFill="1" applyBorder="1" applyAlignment="1">
      <alignment vertical="center" wrapText="1"/>
    </xf>
    <xf numFmtId="0" fontId="31" fillId="0" borderId="1" xfId="0" applyFont="1" applyFill="1" applyBorder="1" applyAlignment="1">
      <alignment vertical="center" wrapText="1"/>
    </xf>
    <xf numFmtId="0" fontId="22" fillId="0" borderId="1" xfId="0" applyFont="1" applyFill="1" applyBorder="1" applyAlignment="1">
      <alignment vertical="top" wrapText="1" shrinkToFit="1"/>
    </xf>
    <xf numFmtId="0" fontId="14" fillId="0" borderId="1" xfId="6" applyFont="1" applyFill="1" applyBorder="1" applyAlignment="1">
      <alignment vertical="top" wrapText="1"/>
    </xf>
    <xf numFmtId="0" fontId="31" fillId="0" borderId="1" xfId="0" applyFont="1" applyFill="1" applyBorder="1" applyAlignment="1">
      <alignment wrapText="1"/>
    </xf>
    <xf numFmtId="0" fontId="31" fillId="0" borderId="1" xfId="0" applyFont="1" applyFill="1" applyBorder="1" applyAlignment="1">
      <alignment vertical="top" wrapText="1"/>
    </xf>
    <xf numFmtId="0" fontId="31" fillId="0" borderId="3" xfId="6" applyFont="1" applyFill="1" applyBorder="1" applyAlignment="1">
      <alignment vertical="top" wrapText="1"/>
    </xf>
    <xf numFmtId="4" fontId="14" fillId="8" borderId="1" xfId="5" applyNumberFormat="1" applyFont="1" applyFill="1" applyBorder="1"/>
    <xf numFmtId="0" fontId="10" fillId="8" borderId="0" xfId="5" applyFont="1" applyFill="1"/>
    <xf numFmtId="0" fontId="1" fillId="8" borderId="0" xfId="5" applyFont="1" applyFill="1"/>
    <xf numFmtId="3" fontId="12" fillId="0" borderId="0" xfId="0" applyNumberFormat="1" applyFont="1" applyFill="1"/>
    <xf numFmtId="0" fontId="86" fillId="8" borderId="1" xfId="0" applyFont="1" applyFill="1" applyBorder="1" applyAlignment="1">
      <alignment horizontal="left" vertical="center" wrapText="1"/>
    </xf>
    <xf numFmtId="3" fontId="12" fillId="8" borderId="1" xfId="0" applyNumberFormat="1" applyFont="1" applyFill="1" applyBorder="1" applyAlignment="1">
      <alignment horizontal="right"/>
    </xf>
    <xf numFmtId="4" fontId="19" fillId="0" borderId="0" xfId="0" applyNumberFormat="1" applyFont="1" applyFill="1" applyBorder="1"/>
    <xf numFmtId="4" fontId="0" fillId="0" borderId="0" xfId="0" applyNumberFormat="1" applyFill="1"/>
    <xf numFmtId="4" fontId="28" fillId="0" borderId="1" xfId="0" applyNumberFormat="1" applyFont="1" applyFill="1" applyBorder="1" applyAlignment="1">
      <alignment horizontal="center"/>
    </xf>
    <xf numFmtId="3" fontId="31" fillId="0" borderId="1" xfId="6" applyNumberFormat="1" applyFont="1" applyFill="1" applyBorder="1" applyAlignment="1">
      <alignment horizontal="right" vertical="center" wrapText="1"/>
    </xf>
    <xf numFmtId="3" fontId="22" fillId="0" borderId="1" xfId="0" applyNumberFormat="1" applyFont="1" applyFill="1" applyBorder="1" applyAlignment="1">
      <alignment horizontal="right" vertical="center" wrapText="1" shrinkToFit="1"/>
    </xf>
    <xf numFmtId="3" fontId="14" fillId="0" borderId="1" xfId="0" applyNumberFormat="1" applyFont="1" applyFill="1" applyBorder="1" applyAlignment="1">
      <alignment horizontal="right" vertical="center" wrapText="1" shrinkToFit="1"/>
    </xf>
    <xf numFmtId="3" fontId="31" fillId="0" borderId="1" xfId="0" applyNumberFormat="1" applyFont="1" applyFill="1" applyBorder="1" applyAlignment="1">
      <alignment horizontal="right" vertical="center" wrapText="1"/>
    </xf>
    <xf numFmtId="0" fontId="48" fillId="0" borderId="0" xfId="0" applyFont="1" applyAlignment="1">
      <alignment horizontal="left"/>
    </xf>
    <xf numFmtId="0" fontId="62" fillId="8" borderId="9" xfId="0" applyFont="1" applyFill="1" applyBorder="1" applyAlignment="1">
      <alignment horizontal="justify" vertical="center" wrapText="1"/>
    </xf>
    <xf numFmtId="0" fontId="62" fillId="8" borderId="2" xfId="0" applyFont="1" applyFill="1" applyBorder="1" applyAlignment="1">
      <alignment horizontal="left" wrapText="1"/>
    </xf>
    <xf numFmtId="0" fontId="8" fillId="8" borderId="3" xfId="0" applyFont="1" applyFill="1" applyBorder="1" applyAlignment="1">
      <alignment horizontal="justify" vertical="center" wrapText="1"/>
    </xf>
    <xf numFmtId="3" fontId="8" fillId="8" borderId="1" xfId="0" applyNumberFormat="1" applyFont="1" applyFill="1" applyBorder="1" applyAlignment="1">
      <alignment horizontal="right" vertical="center" wrapText="1"/>
    </xf>
    <xf numFmtId="0" fontId="98" fillId="10" borderId="0" xfId="0" applyFont="1" applyFill="1"/>
    <xf numFmtId="0" fontId="87" fillId="0" borderId="0" xfId="0" applyFont="1" applyAlignment="1">
      <alignment wrapText="1"/>
    </xf>
    <xf numFmtId="0" fontId="87" fillId="8" borderId="0" xfId="0" applyFont="1" applyFill="1"/>
    <xf numFmtId="3" fontId="87" fillId="8" borderId="0" xfId="0" applyNumberFormat="1" applyFont="1" applyFill="1"/>
    <xf numFmtId="0" fontId="22" fillId="8" borderId="1" xfId="0" applyFont="1" applyFill="1" applyBorder="1" applyAlignment="1">
      <alignment horizontal="justify" vertical="center" wrapText="1"/>
    </xf>
    <xf numFmtId="0" fontId="9" fillId="0" borderId="0" xfId="0" applyFont="1" applyAlignment="1">
      <alignment wrapText="1"/>
    </xf>
    <xf numFmtId="0" fontId="8" fillId="0" borderId="1" xfId="10" applyFont="1" applyFill="1" applyBorder="1" applyAlignment="1">
      <alignment horizontal="left" vertical="center" wrapText="1"/>
    </xf>
    <xf numFmtId="0" fontId="8" fillId="0" borderId="1" xfId="11" applyFont="1" applyFill="1" applyBorder="1" applyAlignment="1">
      <alignment horizontal="left" vertical="center" wrapText="1"/>
    </xf>
    <xf numFmtId="181" fontId="8" fillId="11" borderId="0" xfId="0" applyNumberFormat="1" applyFont="1" applyFill="1"/>
    <xf numFmtId="0" fontId="8" fillId="11" borderId="0" xfId="0" applyFont="1" applyFill="1"/>
    <xf numFmtId="1" fontId="99" fillId="11" borderId="1" xfId="6" applyNumberFormat="1" applyFont="1" applyFill="1" applyBorder="1" applyAlignment="1">
      <alignment horizontal="center" vertical="top"/>
    </xf>
    <xf numFmtId="0" fontId="100" fillId="11" borderId="1" xfId="6" applyFont="1" applyFill="1" applyBorder="1" applyAlignment="1">
      <alignment vertical="center" wrapText="1"/>
    </xf>
    <xf numFmtId="181" fontId="12" fillId="11" borderId="0" xfId="0" applyNumberFormat="1" applyFont="1" applyFill="1"/>
    <xf numFmtId="0" fontId="12" fillId="11" borderId="0" xfId="0" applyFont="1" applyFill="1"/>
    <xf numFmtId="181" fontId="12" fillId="0" borderId="0" xfId="0" applyNumberFormat="1" applyFont="1"/>
    <xf numFmtId="3" fontId="88" fillId="11" borderId="0" xfId="0" applyNumberFormat="1" applyFont="1" applyFill="1"/>
    <xf numFmtId="3" fontId="8" fillId="0" borderId="1" xfId="0" applyNumberFormat="1" applyFont="1" applyFill="1" applyBorder="1" applyAlignment="1">
      <alignment horizontal="right" vertical="center"/>
    </xf>
    <xf numFmtId="3" fontId="8" fillId="0" borderId="1" xfId="10" applyNumberFormat="1" applyFont="1" applyFill="1" applyBorder="1" applyAlignment="1">
      <alignment horizontal="right" vertical="center" wrapText="1"/>
    </xf>
    <xf numFmtId="0" fontId="74" fillId="0" borderId="1" xfId="0" applyFont="1" applyFill="1" applyBorder="1" applyAlignment="1">
      <alignment horizontal="left" vertical="center" wrapText="1"/>
    </xf>
    <xf numFmtId="0" fontId="12" fillId="0" borderId="1" xfId="10" applyFont="1" applyFill="1" applyBorder="1" applyAlignment="1">
      <alignment horizontal="left" vertical="center" wrapText="1"/>
    </xf>
    <xf numFmtId="0" fontId="101" fillId="0" borderId="1" xfId="10" applyFont="1" applyFill="1" applyBorder="1" applyAlignment="1">
      <alignment horizontal="left" vertical="center" wrapText="1"/>
    </xf>
    <xf numFmtId="0" fontId="31" fillId="8" borderId="1" xfId="6" applyFont="1" applyFill="1" applyBorder="1" applyAlignment="1">
      <alignment vertical="top" wrapText="1"/>
    </xf>
    <xf numFmtId="0" fontId="102" fillId="8" borderId="1" xfId="0" applyFont="1" applyFill="1" applyBorder="1" applyAlignment="1">
      <alignment horizontal="left" vertical="center" wrapText="1"/>
    </xf>
    <xf numFmtId="3" fontId="102" fillId="8" borderId="1" xfId="10" applyNumberFormat="1" applyFont="1" applyFill="1" applyBorder="1" applyAlignment="1">
      <alignment horizontal="left" vertical="center" wrapText="1"/>
    </xf>
    <xf numFmtId="0" fontId="102" fillId="9" borderId="0" xfId="0" applyFont="1" applyFill="1" applyBorder="1" applyAlignment="1">
      <alignment horizontal="left" vertical="center" wrapText="1"/>
    </xf>
    <xf numFmtId="3" fontId="102" fillId="8" borderId="0" xfId="10" applyNumberFormat="1" applyFont="1" applyFill="1" applyBorder="1" applyAlignment="1">
      <alignment horizontal="center" vertical="center" wrapText="1"/>
    </xf>
    <xf numFmtId="3" fontId="102" fillId="8" borderId="0" xfId="10" applyNumberFormat="1" applyFont="1" applyFill="1" applyBorder="1" applyAlignment="1">
      <alignment horizontal="left" vertical="center" wrapText="1"/>
    </xf>
    <xf numFmtId="0" fontId="102" fillId="8" borderId="0" xfId="0" applyFont="1" applyFill="1" applyBorder="1" applyAlignment="1">
      <alignment horizontal="left" vertical="center" wrapText="1"/>
    </xf>
    <xf numFmtId="0" fontId="103" fillId="0" borderId="0" xfId="0" applyFont="1" applyFill="1"/>
    <xf numFmtId="4" fontId="103" fillId="0" borderId="0" xfId="0" applyNumberFormat="1" applyFont="1" applyFill="1"/>
    <xf numFmtId="0" fontId="104" fillId="8" borderId="1" xfId="0" applyFont="1" applyFill="1" applyBorder="1" applyAlignment="1">
      <alignment horizontal="left" vertical="center" wrapText="1"/>
    </xf>
    <xf numFmtId="3" fontId="104" fillId="8" borderId="1" xfId="0" applyNumberFormat="1" applyFont="1" applyFill="1" applyBorder="1" applyAlignment="1">
      <alignment horizontal="right" vertical="center"/>
    </xf>
    <xf numFmtId="3" fontId="104" fillId="0" borderId="1" xfId="0" applyNumberFormat="1" applyFont="1" applyFill="1" applyBorder="1" applyAlignment="1">
      <alignment horizontal="right" vertical="center"/>
    </xf>
    <xf numFmtId="0" fontId="104" fillId="0" borderId="0" xfId="0" applyFont="1"/>
    <xf numFmtId="3" fontId="104" fillId="8" borderId="1" xfId="10" applyNumberFormat="1" applyFont="1" applyFill="1" applyBorder="1" applyAlignment="1">
      <alignment horizontal="right" vertical="center"/>
    </xf>
    <xf numFmtId="3" fontId="104" fillId="0" borderId="1" xfId="10" applyNumberFormat="1" applyFont="1" applyFill="1" applyBorder="1" applyAlignment="1">
      <alignment horizontal="right" vertical="center"/>
    </xf>
    <xf numFmtId="0" fontId="104" fillId="0" borderId="1" xfId="0" applyFont="1" applyFill="1" applyBorder="1" applyAlignment="1">
      <alignment horizontal="left" vertical="center" wrapText="1"/>
    </xf>
    <xf numFmtId="0" fontId="105" fillId="0" borderId="9" xfId="0" applyFont="1" applyFill="1" applyBorder="1" applyAlignment="1">
      <alignment horizontal="justify" vertical="center" wrapText="1"/>
    </xf>
    <xf numFmtId="0" fontId="8" fillId="0" borderId="1" xfId="0" applyFont="1" applyFill="1" applyBorder="1" applyAlignment="1">
      <alignment wrapText="1"/>
    </xf>
    <xf numFmtId="0" fontId="102" fillId="0" borderId="1" xfId="0" applyFont="1" applyFill="1" applyBorder="1" applyAlignment="1">
      <alignment horizontal="left" vertical="center" wrapText="1"/>
    </xf>
    <xf numFmtId="3" fontId="102" fillId="0" borderId="1" xfId="10" applyNumberFormat="1" applyFont="1" applyFill="1" applyBorder="1" applyAlignment="1">
      <alignment horizontal="left" vertical="center" wrapText="1"/>
    </xf>
    <xf numFmtId="4" fontId="41" fillId="5" borderId="0" xfId="0" applyNumberFormat="1" applyFont="1" applyFill="1" applyBorder="1"/>
    <xf numFmtId="3" fontId="41" fillId="5" borderId="0" xfId="0" applyNumberFormat="1" applyFont="1" applyFill="1" applyBorder="1"/>
    <xf numFmtId="0" fontId="17" fillId="0" borderId="0" xfId="0" applyFont="1" applyFill="1" applyBorder="1"/>
    <xf numFmtId="0" fontId="17" fillId="0" borderId="0" xfId="0" applyFont="1" applyFill="1"/>
    <xf numFmtId="0" fontId="105" fillId="8" borderId="9" xfId="0" applyFont="1" applyFill="1" applyBorder="1" applyAlignment="1">
      <alignment horizontal="justify" vertical="center" wrapText="1"/>
    </xf>
    <xf numFmtId="0" fontId="8" fillId="0" borderId="2" xfId="0" applyFont="1" applyBorder="1" applyAlignment="1">
      <alignment horizontal="center" vertical="center" wrapText="1"/>
    </xf>
    <xf numFmtId="0" fontId="106" fillId="0" borderId="1" xfId="0" applyFont="1" applyFill="1" applyBorder="1" applyAlignment="1">
      <alignment horizontal="left" vertical="center" wrapText="1"/>
    </xf>
    <xf numFmtId="3" fontId="106" fillId="0" borderId="1" xfId="10" applyNumberFormat="1" applyFont="1" applyFill="1" applyBorder="1" applyAlignment="1">
      <alignment horizontal="right" vertical="center"/>
    </xf>
    <xf numFmtId="3" fontId="106" fillId="0" borderId="0" xfId="0" applyNumberFormat="1" applyFont="1"/>
    <xf numFmtId="0" fontId="106" fillId="8" borderId="1" xfId="0" applyFont="1" applyFill="1" applyBorder="1" applyAlignment="1">
      <alignment wrapText="1"/>
    </xf>
    <xf numFmtId="0" fontId="8" fillId="8" borderId="3" xfId="0" applyFont="1" applyFill="1" applyBorder="1" applyAlignment="1">
      <alignment horizontal="left" wrapText="1"/>
    </xf>
    <xf numFmtId="3" fontId="12" fillId="0" borderId="1" xfId="0" applyNumberFormat="1" applyFont="1" applyFill="1" applyBorder="1" applyAlignment="1">
      <alignment vertical="center"/>
    </xf>
    <xf numFmtId="3" fontId="12" fillId="8" borderId="1" xfId="0" applyNumberFormat="1" applyFont="1" applyFill="1" applyBorder="1" applyAlignment="1">
      <alignment vertical="center" wrapText="1"/>
    </xf>
    <xf numFmtId="4" fontId="12" fillId="8" borderId="0" xfId="0" applyNumberFormat="1" applyFont="1" applyFill="1" applyBorder="1" applyAlignment="1">
      <alignment horizontal="center" wrapText="1"/>
    </xf>
    <xf numFmtId="4" fontId="24" fillId="8" borderId="0" xfId="5" applyNumberFormat="1" applyFont="1" applyFill="1"/>
    <xf numFmtId="4" fontId="12" fillId="8" borderId="0" xfId="5" applyNumberFormat="1" applyFont="1" applyFill="1" applyBorder="1"/>
    <xf numFmtId="4" fontId="8" fillId="8" borderId="0" xfId="5" applyNumberFormat="1" applyFont="1" applyFill="1" applyBorder="1"/>
    <xf numFmtId="4" fontId="8" fillId="8" borderId="0" xfId="0" applyNumberFormat="1" applyFont="1" applyFill="1"/>
    <xf numFmtId="4" fontId="12" fillId="8" borderId="0" xfId="0" applyNumberFormat="1" applyFont="1" applyFill="1"/>
    <xf numFmtId="4" fontId="12" fillId="0" borderId="0" xfId="0" applyNumberFormat="1" applyFont="1" applyFill="1"/>
    <xf numFmtId="4" fontId="87" fillId="8" borderId="0" xfId="0" applyNumberFormat="1" applyFont="1" applyFill="1"/>
    <xf numFmtId="3" fontId="106" fillId="0" borderId="1" xfId="0" applyNumberFormat="1" applyFont="1" applyFill="1" applyBorder="1" applyAlignment="1">
      <alignment horizontal="right" vertical="center" wrapText="1"/>
    </xf>
    <xf numFmtId="3" fontId="104" fillId="8" borderId="1" xfId="0" applyNumberFormat="1" applyFont="1" applyFill="1" applyBorder="1" applyAlignment="1">
      <alignment horizontal="right" vertical="center" wrapText="1"/>
    </xf>
    <xf numFmtId="3" fontId="102" fillId="8" borderId="1" xfId="10" applyNumberFormat="1" applyFont="1" applyFill="1" applyBorder="1" applyAlignment="1">
      <alignment horizontal="right" vertical="center" wrapText="1"/>
    </xf>
    <xf numFmtId="3" fontId="12" fillId="8" borderId="1" xfId="0" applyNumberFormat="1" applyFont="1" applyFill="1" applyBorder="1" applyAlignment="1">
      <alignment horizontal="right" vertical="center" wrapText="1"/>
    </xf>
    <xf numFmtId="3" fontId="12" fillId="8" borderId="1" xfId="0" applyNumberFormat="1" applyFont="1" applyFill="1" applyBorder="1" applyAlignment="1">
      <alignment horizontal="right" vertical="center"/>
    </xf>
    <xf numFmtId="3" fontId="8" fillId="8" borderId="1" xfId="10" applyNumberFormat="1" applyFont="1" applyFill="1" applyBorder="1" applyAlignment="1">
      <alignment horizontal="right" vertical="center" wrapText="1"/>
    </xf>
    <xf numFmtId="0" fontId="107" fillId="0" borderId="1" xfId="0" applyFont="1" applyFill="1" applyBorder="1" applyAlignment="1">
      <alignment horizontal="left" vertical="center" wrapText="1"/>
    </xf>
    <xf numFmtId="0" fontId="107" fillId="8" borderId="1" xfId="8" applyFont="1" applyFill="1" applyBorder="1" applyAlignment="1">
      <alignment horizontal="left" vertical="center" wrapText="1"/>
    </xf>
    <xf numFmtId="0" fontId="107" fillId="8" borderId="1" xfId="0" applyFont="1" applyFill="1" applyBorder="1" applyAlignment="1">
      <alignment horizontal="left" vertical="center" wrapText="1"/>
    </xf>
    <xf numFmtId="181" fontId="8" fillId="0" borderId="0" xfId="0" applyNumberFormat="1" applyFont="1" applyFill="1" applyBorder="1" applyAlignment="1">
      <alignment horizontal="center" vertical="center"/>
    </xf>
    <xf numFmtId="0" fontId="107" fillId="0" borderId="1" xfId="11" applyFont="1" applyFill="1" applyBorder="1" applyAlignment="1">
      <alignment horizontal="left" vertical="center" wrapText="1"/>
    </xf>
    <xf numFmtId="181" fontId="107" fillId="0" borderId="0" xfId="0" applyNumberFormat="1" applyFont="1"/>
    <xf numFmtId="3" fontId="0" fillId="0" borderId="0" xfId="0" applyNumberFormat="1" applyFont="1" applyFill="1"/>
    <xf numFmtId="0" fontId="0" fillId="0" borderId="0" xfId="0" applyFont="1" applyFill="1"/>
    <xf numFmtId="0" fontId="31" fillId="0" borderId="1" xfId="6" applyFont="1" applyFill="1" applyBorder="1" applyAlignment="1">
      <alignment vertical="center" wrapText="1"/>
    </xf>
    <xf numFmtId="0" fontId="0" fillId="0" borderId="0" xfId="0" applyFont="1"/>
    <xf numFmtId="3" fontId="14" fillId="0" borderId="4" xfId="0" applyNumberFormat="1" applyFont="1" applyFill="1" applyBorder="1" applyAlignment="1">
      <alignment vertical="top" wrapText="1"/>
    </xf>
    <xf numFmtId="3" fontId="104" fillId="0" borderId="1" xfId="10" applyNumberFormat="1" applyFont="1" applyFill="1" applyBorder="1" applyAlignment="1">
      <alignment horizontal="right" vertical="center" wrapText="1"/>
    </xf>
    <xf numFmtId="3" fontId="104" fillId="0" borderId="1" xfId="0" applyNumberFormat="1" applyFont="1" applyFill="1" applyBorder="1" applyAlignment="1">
      <alignment horizontal="right" vertical="center" wrapText="1"/>
    </xf>
    <xf numFmtId="4" fontId="8" fillId="8" borderId="1" xfId="10" applyNumberFormat="1" applyFont="1" applyFill="1" applyBorder="1" applyAlignment="1">
      <alignment horizontal="right" vertical="center" wrapText="1"/>
    </xf>
    <xf numFmtId="4" fontId="8" fillId="8" borderId="1" xfId="12" applyNumberFormat="1" applyFont="1" applyFill="1" applyBorder="1" applyAlignment="1">
      <alignment horizontal="right" vertical="center"/>
    </xf>
    <xf numFmtId="3" fontId="8" fillId="8" borderId="1" xfId="0" applyNumberFormat="1" applyFont="1" applyFill="1" applyBorder="1" applyAlignment="1">
      <alignment horizontal="right" vertical="center"/>
    </xf>
    <xf numFmtId="181" fontId="8" fillId="8" borderId="1" xfId="10" applyNumberFormat="1" applyFont="1" applyFill="1" applyBorder="1" applyAlignment="1">
      <alignment horizontal="right" vertical="center" wrapText="1"/>
    </xf>
    <xf numFmtId="181" fontId="8" fillId="8" borderId="1" xfId="12" applyNumberFormat="1" applyFont="1" applyFill="1" applyBorder="1" applyAlignment="1">
      <alignment horizontal="right" vertical="center"/>
    </xf>
    <xf numFmtId="181" fontId="8" fillId="8" borderId="1" xfId="0" applyNumberFormat="1" applyFont="1" applyFill="1" applyBorder="1" applyAlignment="1">
      <alignment horizontal="right" vertical="center"/>
    </xf>
    <xf numFmtId="3" fontId="12" fillId="0" borderId="1" xfId="0" applyNumberFormat="1" applyFont="1" applyFill="1" applyBorder="1" applyAlignment="1">
      <alignment horizontal="right" vertical="center"/>
    </xf>
    <xf numFmtId="3" fontId="106" fillId="8" borderId="1" xfId="0" applyNumberFormat="1" applyFont="1" applyFill="1" applyBorder="1" applyAlignment="1">
      <alignment horizontal="right" vertical="center" wrapText="1"/>
    </xf>
    <xf numFmtId="3" fontId="106" fillId="8" borderId="1" xfId="10" applyNumberFormat="1" applyFont="1" applyFill="1" applyBorder="1" applyAlignment="1">
      <alignment horizontal="right" vertical="center" wrapText="1"/>
    </xf>
    <xf numFmtId="3" fontId="64" fillId="8" borderId="1" xfId="10" applyNumberFormat="1" applyFont="1" applyFill="1" applyBorder="1" applyAlignment="1">
      <alignment horizontal="right" vertical="center" wrapText="1"/>
    </xf>
    <xf numFmtId="3" fontId="86" fillId="0" borderId="1" xfId="10" applyNumberFormat="1" applyFont="1" applyFill="1" applyBorder="1" applyAlignment="1">
      <alignment horizontal="right" vertical="center"/>
    </xf>
    <xf numFmtId="3" fontId="106" fillId="0" borderId="1" xfId="10" applyNumberFormat="1" applyFont="1" applyFill="1" applyBorder="1" applyAlignment="1">
      <alignment horizontal="right" vertical="center" wrapText="1"/>
    </xf>
    <xf numFmtId="3" fontId="102" fillId="0" borderId="1" xfId="10" applyNumberFormat="1" applyFont="1" applyFill="1" applyBorder="1" applyAlignment="1">
      <alignment horizontal="right" vertical="center" wrapText="1"/>
    </xf>
    <xf numFmtId="3" fontId="12" fillId="0" borderId="1" xfId="0" applyNumberFormat="1" applyFont="1" applyFill="1" applyBorder="1" applyAlignment="1">
      <alignment horizontal="right" vertical="center" wrapText="1"/>
    </xf>
    <xf numFmtId="3" fontId="8" fillId="0" borderId="1" xfId="10" applyNumberFormat="1" applyFont="1" applyFill="1" applyBorder="1" applyAlignment="1">
      <alignment horizontal="right" vertical="center"/>
    </xf>
    <xf numFmtId="3" fontId="86" fillId="0" borderId="1" xfId="0" applyNumberFormat="1" applyFont="1" applyFill="1" applyBorder="1" applyAlignment="1">
      <alignment horizontal="right" vertical="center"/>
    </xf>
    <xf numFmtId="3" fontId="106" fillId="0" borderId="1" xfId="0" applyNumberFormat="1" applyFont="1" applyFill="1" applyBorder="1" applyAlignment="1">
      <alignment horizontal="right" vertical="center"/>
    </xf>
    <xf numFmtId="0" fontId="104" fillId="0" borderId="1" xfId="0" applyFont="1" applyFill="1" applyBorder="1" applyAlignment="1">
      <alignment horizontal="right" vertical="center" wrapText="1"/>
    </xf>
    <xf numFmtId="3" fontId="86" fillId="8" borderId="1" xfId="0" applyNumberFormat="1" applyFont="1" applyFill="1" applyBorder="1" applyAlignment="1">
      <alignment horizontal="right" vertical="center"/>
    </xf>
    <xf numFmtId="3" fontId="86" fillId="8" borderId="1" xfId="10" applyNumberFormat="1" applyFont="1" applyFill="1" applyBorder="1" applyAlignment="1">
      <alignment horizontal="right" vertical="center"/>
    </xf>
    <xf numFmtId="3" fontId="102" fillId="8" borderId="1" xfId="10" applyNumberFormat="1" applyFont="1" applyFill="1" applyBorder="1" applyAlignment="1">
      <alignment horizontal="right" vertical="center"/>
    </xf>
    <xf numFmtId="3" fontId="102" fillId="0" borderId="1" xfId="10" applyNumberFormat="1" applyFont="1" applyFill="1" applyBorder="1" applyAlignment="1">
      <alignment horizontal="right" vertical="center"/>
    </xf>
    <xf numFmtId="4" fontId="12" fillId="8" borderId="1" xfId="0" applyNumberFormat="1" applyFont="1" applyFill="1" applyBorder="1" applyAlignment="1">
      <alignment horizontal="right" vertical="center" wrapText="1"/>
    </xf>
    <xf numFmtId="4" fontId="12" fillId="8" borderId="1" xfId="0" applyNumberFormat="1" applyFont="1" applyFill="1" applyBorder="1" applyAlignment="1">
      <alignment horizontal="right" vertical="center"/>
    </xf>
    <xf numFmtId="0" fontId="56" fillId="0" borderId="0" xfId="0" applyFont="1"/>
    <xf numFmtId="4" fontId="0" fillId="3" borderId="0" xfId="0" applyNumberFormat="1" applyFont="1" applyFill="1"/>
    <xf numFmtId="49" fontId="0" fillId="0" borderId="0" xfId="0" applyNumberFormat="1" applyFont="1" applyFill="1"/>
    <xf numFmtId="0" fontId="0" fillId="3" borderId="0" xfId="0" applyFont="1" applyFill="1"/>
    <xf numFmtId="3" fontId="12" fillId="11" borderId="0" xfId="0" applyNumberFormat="1" applyFont="1" applyFill="1"/>
    <xf numFmtId="3" fontId="107" fillId="0" borderId="1" xfId="11" applyNumberFormat="1" applyFont="1" applyFill="1" applyBorder="1" applyAlignment="1">
      <alignment horizontal="right" vertical="center" wrapText="1"/>
    </xf>
    <xf numFmtId="0" fontId="14" fillId="0" borderId="0" xfId="0" applyFont="1"/>
    <xf numFmtId="0" fontId="8" fillId="8" borderId="1" xfId="0" applyFont="1" applyFill="1" applyBorder="1" applyAlignment="1">
      <alignment horizontal="center" vertical="center" wrapText="1"/>
    </xf>
    <xf numFmtId="0" fontId="108" fillId="0" borderId="1" xfId="0" applyFont="1" applyFill="1" applyBorder="1" applyAlignment="1">
      <alignment horizontal="left" vertical="center" wrapText="1"/>
    </xf>
    <xf numFmtId="3" fontId="108" fillId="8" borderId="1" xfId="10" applyNumberFormat="1" applyFont="1" applyFill="1" applyBorder="1" applyAlignment="1">
      <alignment horizontal="right" vertical="center" wrapText="1"/>
    </xf>
    <xf numFmtId="3" fontId="109" fillId="0" borderId="0" xfId="0" applyNumberFormat="1" applyFont="1" applyBorder="1" applyAlignment="1">
      <alignment horizontal="center" wrapText="1"/>
    </xf>
    <xf numFmtId="0" fontId="108" fillId="3" borderId="0" xfId="0" applyFont="1" applyFill="1"/>
    <xf numFmtId="0" fontId="108" fillId="0" borderId="0" xfId="0" applyFont="1"/>
    <xf numFmtId="3" fontId="108" fillId="0" borderId="0" xfId="0" applyNumberFormat="1" applyFont="1"/>
    <xf numFmtId="3" fontId="108" fillId="0" borderId="1" xfId="10" applyNumberFormat="1" applyFont="1" applyFill="1" applyBorder="1" applyAlignment="1">
      <alignment horizontal="right" vertical="center" wrapText="1"/>
    </xf>
    <xf numFmtId="3" fontId="109" fillId="0" borderId="1" xfId="0" applyNumberFormat="1" applyFont="1" applyBorder="1" applyAlignment="1">
      <alignment horizontal="center" wrapText="1"/>
    </xf>
    <xf numFmtId="3" fontId="108" fillId="8" borderId="1" xfId="0" applyNumberFormat="1" applyFont="1" applyFill="1" applyBorder="1" applyAlignment="1">
      <alignment horizontal="right" vertical="center" wrapText="1"/>
    </xf>
    <xf numFmtId="0" fontId="108" fillId="8" borderId="1" xfId="0" applyFont="1" applyFill="1" applyBorder="1" applyAlignment="1">
      <alignment horizontal="left" vertical="center" wrapText="1"/>
    </xf>
    <xf numFmtId="0" fontId="110" fillId="0" borderId="1" xfId="0" applyFont="1" applyFill="1" applyBorder="1" applyAlignment="1">
      <alignment horizontal="left" vertical="center" wrapText="1"/>
    </xf>
    <xf numFmtId="3" fontId="110" fillId="8" borderId="1" xfId="10" applyNumberFormat="1" applyFont="1" applyFill="1" applyBorder="1" applyAlignment="1">
      <alignment horizontal="right" vertical="center" wrapText="1"/>
    </xf>
    <xf numFmtId="3" fontId="111" fillId="0" borderId="0" xfId="0" applyNumberFormat="1" applyFont="1" applyBorder="1" applyAlignment="1">
      <alignment wrapText="1"/>
    </xf>
    <xf numFmtId="3" fontId="110" fillId="3" borderId="0" xfId="0" applyNumberFormat="1" applyFont="1" applyFill="1"/>
    <xf numFmtId="0" fontId="110" fillId="3" borderId="0" xfId="0" applyFont="1" applyFill="1"/>
    <xf numFmtId="0" fontId="110" fillId="0" borderId="0" xfId="0" applyFont="1"/>
    <xf numFmtId="3" fontId="111" fillId="0" borderId="1" xfId="0" applyNumberFormat="1" applyFont="1" applyBorder="1" applyAlignment="1">
      <alignment horizontal="center" wrapText="1"/>
    </xf>
    <xf numFmtId="3" fontId="110" fillId="8" borderId="1" xfId="0" applyNumberFormat="1" applyFont="1" applyFill="1" applyBorder="1" applyAlignment="1">
      <alignment horizontal="right" vertical="center" wrapText="1"/>
    </xf>
    <xf numFmtId="3" fontId="110" fillId="0" borderId="1" xfId="0" applyNumberFormat="1" applyFont="1" applyBorder="1" applyAlignment="1">
      <alignment horizontal="center" wrapText="1"/>
    </xf>
    <xf numFmtId="3" fontId="110" fillId="0" borderId="1" xfId="0" applyNumberFormat="1" applyFont="1" applyFill="1" applyBorder="1" applyAlignment="1">
      <alignment horizontal="right" vertical="center"/>
    </xf>
    <xf numFmtId="3" fontId="111" fillId="0" borderId="0" xfId="0" applyNumberFormat="1" applyFont="1" applyBorder="1" applyAlignment="1">
      <alignment horizontal="center" wrapText="1"/>
    </xf>
    <xf numFmtId="0" fontId="110" fillId="8" borderId="1" xfId="0" applyFont="1" applyFill="1" applyBorder="1" applyAlignment="1">
      <alignment horizontal="left" vertical="center" wrapText="1"/>
    </xf>
    <xf numFmtId="3" fontId="110" fillId="0" borderId="0" xfId="0" applyNumberFormat="1" applyFont="1"/>
    <xf numFmtId="3" fontId="110" fillId="0" borderId="1" xfId="10" applyNumberFormat="1" applyFont="1" applyFill="1" applyBorder="1" applyAlignment="1">
      <alignment horizontal="right" vertical="center" wrapText="1"/>
    </xf>
    <xf numFmtId="3" fontId="111" fillId="3" borderId="0" xfId="0" applyNumberFormat="1" applyFont="1" applyFill="1" applyBorder="1" applyAlignment="1">
      <alignment wrapText="1"/>
    </xf>
    <xf numFmtId="3" fontId="100" fillId="0" borderId="1" xfId="0" applyNumberFormat="1" applyFont="1" applyBorder="1" applyAlignment="1">
      <alignment horizontal="center" wrapText="1"/>
    </xf>
    <xf numFmtId="3" fontId="110" fillId="0" borderId="1" xfId="2" applyNumberFormat="1" applyFont="1" applyFill="1" applyBorder="1" applyAlignment="1">
      <alignment horizontal="right"/>
    </xf>
    <xf numFmtId="181" fontId="110" fillId="0" borderId="1" xfId="0" applyNumberFormat="1" applyFont="1" applyFill="1" applyBorder="1" applyAlignment="1">
      <alignment horizontal="right" vertical="center" wrapText="1"/>
    </xf>
    <xf numFmtId="0" fontId="110" fillId="0" borderId="1" xfId="8" applyFont="1" applyFill="1" applyBorder="1" applyAlignment="1">
      <alignment horizontal="justify" vertical="center" wrapText="1"/>
    </xf>
    <xf numFmtId="0" fontId="110" fillId="0" borderId="1" xfId="0" applyNumberFormat="1" applyFont="1" applyFill="1" applyBorder="1" applyAlignment="1" applyProtection="1">
      <alignment horizontal="justify" vertical="center"/>
    </xf>
    <xf numFmtId="0" fontId="75" fillId="2" borderId="9" xfId="0" applyFont="1" applyFill="1" applyBorder="1" applyAlignment="1">
      <alignment horizontal="justify" vertical="center" wrapText="1"/>
    </xf>
    <xf numFmtId="181" fontId="92" fillId="0" borderId="1" xfId="10" applyNumberFormat="1" applyFont="1" applyFill="1" applyBorder="1" applyAlignment="1">
      <alignment horizontal="right" vertical="center" wrapText="1"/>
    </xf>
    <xf numFmtId="181" fontId="92" fillId="0" borderId="1" xfId="0" applyNumberFormat="1" applyFont="1" applyFill="1" applyBorder="1" applyAlignment="1">
      <alignment horizontal="right" vertical="center"/>
    </xf>
    <xf numFmtId="0" fontId="101" fillId="8" borderId="1" xfId="0" applyFont="1" applyFill="1" applyBorder="1" applyAlignment="1">
      <alignment horizontal="left" vertical="center" wrapText="1"/>
    </xf>
    <xf numFmtId="181" fontId="8" fillId="0" borderId="1" xfId="11" applyNumberFormat="1" applyFont="1" applyFill="1" applyBorder="1" applyAlignment="1">
      <alignment horizontal="left" vertical="center" wrapText="1"/>
    </xf>
    <xf numFmtId="0" fontId="8" fillId="0" borderId="1" xfId="0" applyFont="1" applyFill="1" applyBorder="1" applyAlignment="1">
      <alignment vertical="center" wrapText="1"/>
    </xf>
    <xf numFmtId="0" fontId="8" fillId="0" borderId="0" xfId="0" applyFont="1" applyAlignment="1">
      <alignment vertical="top" wrapText="1"/>
    </xf>
    <xf numFmtId="3" fontId="8" fillId="0" borderId="1" xfId="12" applyNumberFormat="1" applyFont="1" applyFill="1" applyBorder="1" applyAlignment="1">
      <alignment horizontal="right" vertical="center"/>
    </xf>
    <xf numFmtId="3" fontId="17" fillId="0" borderId="1" xfId="0" applyNumberFormat="1" applyFont="1" applyFill="1" applyBorder="1" applyAlignment="1">
      <alignment horizontal="right" vertical="center"/>
    </xf>
    <xf numFmtId="3" fontId="17" fillId="0" borderId="1" xfId="0" applyNumberFormat="1" applyFont="1" applyBorder="1" applyAlignment="1">
      <alignment horizontal="right" vertical="center"/>
    </xf>
    <xf numFmtId="3" fontId="107" fillId="0" borderId="1" xfId="10" applyNumberFormat="1" applyFont="1" applyFill="1" applyBorder="1" applyAlignment="1">
      <alignment horizontal="right" vertical="center"/>
    </xf>
    <xf numFmtId="3" fontId="107" fillId="0" borderId="1" xfId="0" applyNumberFormat="1" applyFont="1" applyFill="1" applyBorder="1" applyAlignment="1">
      <alignment horizontal="right" vertical="center"/>
    </xf>
    <xf numFmtId="181" fontId="8" fillId="0" borderId="1" xfId="11" applyNumberFormat="1" applyFont="1" applyFill="1" applyBorder="1" applyAlignment="1">
      <alignment horizontal="right" vertical="center" wrapText="1"/>
    </xf>
    <xf numFmtId="182" fontId="8" fillId="8" borderId="1" xfId="0" applyNumberFormat="1" applyFont="1" applyFill="1" applyBorder="1" applyAlignment="1">
      <alignment horizontal="right" vertical="center"/>
    </xf>
    <xf numFmtId="181" fontId="94" fillId="0" borderId="1" xfId="0" applyNumberFormat="1" applyFont="1" applyFill="1" applyBorder="1" applyAlignment="1">
      <alignment horizontal="right" vertical="center"/>
    </xf>
    <xf numFmtId="181" fontId="94" fillId="8" borderId="1" xfId="10" applyNumberFormat="1" applyFont="1" applyFill="1" applyBorder="1" applyAlignment="1">
      <alignment horizontal="right" vertical="center" wrapText="1"/>
    </xf>
    <xf numFmtId="181" fontId="94" fillId="8" borderId="1" xfId="0" applyNumberFormat="1" applyFont="1" applyFill="1" applyBorder="1" applyAlignment="1">
      <alignment horizontal="right" vertical="center"/>
    </xf>
    <xf numFmtId="181" fontId="8" fillId="0" borderId="1" xfId="10" applyNumberFormat="1" applyFont="1" applyFill="1" applyBorder="1" applyAlignment="1">
      <alignment horizontal="right" vertical="center" wrapText="1"/>
    </xf>
    <xf numFmtId="181" fontId="8" fillId="0" borderId="1" xfId="12" applyNumberFormat="1" applyFont="1" applyFill="1" applyBorder="1" applyAlignment="1">
      <alignment horizontal="right" vertical="center"/>
    </xf>
    <xf numFmtId="181" fontId="8" fillId="0" borderId="4" xfId="10" applyNumberFormat="1" applyFont="1" applyFill="1" applyBorder="1" applyAlignment="1">
      <alignment horizontal="right" vertical="center" wrapText="1"/>
    </xf>
    <xf numFmtId="181" fontId="8" fillId="0" borderId="4" xfId="0" applyNumberFormat="1" applyFont="1" applyFill="1" applyBorder="1" applyAlignment="1">
      <alignment horizontal="right" vertical="center"/>
    </xf>
    <xf numFmtId="181" fontId="8" fillId="0" borderId="7" xfId="11" applyNumberFormat="1" applyFont="1" applyFill="1" applyBorder="1" applyAlignment="1">
      <alignment horizontal="right" vertical="center" wrapText="1"/>
    </xf>
    <xf numFmtId="181" fontId="68" fillId="0" borderId="1" xfId="0" applyNumberFormat="1" applyFont="1" applyFill="1" applyBorder="1" applyAlignment="1">
      <alignment horizontal="right" vertical="center" wrapText="1"/>
    </xf>
    <xf numFmtId="3" fontId="68" fillId="0" borderId="1" xfId="0" applyNumberFormat="1" applyFont="1" applyFill="1" applyBorder="1" applyAlignment="1">
      <alignment horizontal="right" vertical="center"/>
    </xf>
    <xf numFmtId="181" fontId="86" fillId="0" borderId="1" xfId="10" applyNumberFormat="1" applyFont="1" applyFill="1" applyBorder="1" applyAlignment="1">
      <alignment horizontal="right" vertical="center" wrapText="1"/>
    </xf>
    <xf numFmtId="181" fontId="86" fillId="0" borderId="1" xfId="0" applyNumberFormat="1" applyFont="1" applyFill="1" applyBorder="1" applyAlignment="1">
      <alignment horizontal="right" vertical="center"/>
    </xf>
    <xf numFmtId="4" fontId="112" fillId="0" borderId="1" xfId="0" applyNumberFormat="1" applyFont="1" applyBorder="1" applyAlignment="1">
      <alignment horizontal="right"/>
    </xf>
    <xf numFmtId="181" fontId="87" fillId="0" borderId="1" xfId="10" applyNumberFormat="1" applyFont="1" applyFill="1" applyBorder="1" applyAlignment="1">
      <alignment horizontal="right" vertical="center" wrapText="1"/>
    </xf>
    <xf numFmtId="181" fontId="87" fillId="0" borderId="1" xfId="0" applyNumberFormat="1" applyFont="1" applyFill="1" applyBorder="1" applyAlignment="1">
      <alignment horizontal="right" vertical="center"/>
    </xf>
    <xf numFmtId="181" fontId="64" fillId="0" borderId="1" xfId="10" applyNumberFormat="1" applyFont="1" applyFill="1" applyBorder="1" applyAlignment="1">
      <alignment horizontal="right" vertical="center" wrapText="1"/>
    </xf>
    <xf numFmtId="181" fontId="64" fillId="0" borderId="1" xfId="0" applyNumberFormat="1" applyFont="1" applyFill="1" applyBorder="1" applyAlignment="1">
      <alignment horizontal="right" vertical="center"/>
    </xf>
    <xf numFmtId="181" fontId="45" fillId="0" borderId="1" xfId="0" applyNumberFormat="1" applyFont="1" applyFill="1" applyBorder="1" applyAlignment="1">
      <alignment horizontal="right" vertical="center" wrapText="1"/>
    </xf>
    <xf numFmtId="181" fontId="45" fillId="0" borderId="1" xfId="0" applyNumberFormat="1" applyFont="1" applyFill="1" applyBorder="1" applyAlignment="1">
      <alignment horizontal="right" vertical="center"/>
    </xf>
    <xf numFmtId="181" fontId="66" fillId="0" borderId="1" xfId="10" applyNumberFormat="1" applyFont="1" applyFill="1" applyBorder="1" applyAlignment="1">
      <alignment horizontal="right" vertical="center" wrapText="1"/>
    </xf>
    <xf numFmtId="181" fontId="66" fillId="0" borderId="1" xfId="0" applyNumberFormat="1" applyFont="1" applyFill="1" applyBorder="1" applyAlignment="1">
      <alignment horizontal="right" vertical="center"/>
    </xf>
    <xf numFmtId="181" fontId="94" fillId="0" borderId="1" xfId="0" applyNumberFormat="1" applyFont="1" applyFill="1" applyBorder="1" applyAlignment="1">
      <alignment horizontal="right" vertical="center" wrapText="1"/>
    </xf>
    <xf numFmtId="181" fontId="94" fillId="0" borderId="1" xfId="10" applyNumberFormat="1" applyFont="1" applyFill="1" applyBorder="1" applyAlignment="1">
      <alignment horizontal="right" vertical="center" wrapText="1"/>
    </xf>
    <xf numFmtId="3" fontId="101" fillId="0" borderId="1" xfId="10" applyNumberFormat="1" applyFont="1" applyFill="1" applyBorder="1" applyAlignment="1">
      <alignment horizontal="right" vertical="center"/>
    </xf>
    <xf numFmtId="3" fontId="101" fillId="0" borderId="1" xfId="0" applyNumberFormat="1" applyFont="1" applyFill="1" applyBorder="1" applyAlignment="1">
      <alignment horizontal="right" vertical="center"/>
    </xf>
    <xf numFmtId="181" fontId="17" fillId="0" borderId="1" xfId="0" applyNumberFormat="1" applyFont="1" applyFill="1" applyBorder="1" applyAlignment="1">
      <alignment horizontal="right"/>
    </xf>
    <xf numFmtId="181" fontId="17" fillId="0" borderId="1" xfId="0" applyNumberFormat="1" applyFont="1" applyBorder="1" applyAlignment="1">
      <alignment horizontal="right"/>
    </xf>
    <xf numFmtId="3" fontId="87" fillId="0" borderId="1" xfId="0" applyNumberFormat="1" applyFont="1" applyFill="1" applyBorder="1" applyAlignment="1">
      <alignment horizontal="right" vertical="center"/>
    </xf>
    <xf numFmtId="181" fontId="40" fillId="0" borderId="1" xfId="10" applyNumberFormat="1" applyFont="1" applyFill="1" applyBorder="1" applyAlignment="1">
      <alignment horizontal="right" vertical="center" wrapText="1"/>
    </xf>
    <xf numFmtId="181" fontId="40" fillId="0" borderId="1" xfId="0" applyNumberFormat="1" applyFont="1" applyFill="1" applyBorder="1" applyAlignment="1">
      <alignment horizontal="right" vertical="center"/>
    </xf>
    <xf numFmtId="0" fontId="24" fillId="0" borderId="1" xfId="0" applyFont="1" applyBorder="1" applyAlignment="1">
      <alignment horizontal="right"/>
    </xf>
    <xf numFmtId="181" fontId="8" fillId="0" borderId="6" xfId="10" applyNumberFormat="1" applyFont="1" applyFill="1" applyBorder="1" applyAlignment="1">
      <alignment horizontal="right" vertical="center" wrapText="1"/>
    </xf>
    <xf numFmtId="181" fontId="8" fillId="0" borderId="6" xfId="12" applyNumberFormat="1" applyFont="1" applyFill="1" applyBorder="1" applyAlignment="1">
      <alignment horizontal="right" vertical="center"/>
    </xf>
    <xf numFmtId="181" fontId="8" fillId="0" borderId="4" xfId="0" applyNumberFormat="1" applyFont="1" applyFill="1" applyBorder="1" applyAlignment="1">
      <alignment horizontal="right" vertical="center" wrapText="1"/>
    </xf>
    <xf numFmtId="3" fontId="12" fillId="0" borderId="1" xfId="0" applyNumberFormat="1" applyFont="1" applyBorder="1" applyAlignment="1">
      <alignment horizontal="right" vertical="center"/>
    </xf>
    <xf numFmtId="181" fontId="8" fillId="0" borderId="1" xfId="0" applyNumberFormat="1" applyFont="1" applyBorder="1" applyAlignment="1">
      <alignment horizontal="right"/>
    </xf>
    <xf numFmtId="181" fontId="8" fillId="0" borderId="4" xfId="0" applyNumberFormat="1" applyFont="1" applyBorder="1" applyAlignment="1">
      <alignment horizontal="right"/>
    </xf>
    <xf numFmtId="181" fontId="8" fillId="0" borderId="1" xfId="12" applyNumberFormat="1" applyFont="1" applyFill="1" applyBorder="1" applyAlignment="1">
      <alignment horizontal="right" vertical="center" wrapText="1"/>
    </xf>
    <xf numFmtId="181" fontId="8" fillId="0" borderId="6" xfId="0" applyNumberFormat="1" applyFont="1" applyFill="1" applyBorder="1" applyAlignment="1">
      <alignment horizontal="right" vertical="center" wrapText="1"/>
    </xf>
    <xf numFmtId="3" fontId="64" fillId="0" borderId="1" xfId="0" applyNumberFormat="1" applyFont="1" applyFill="1" applyBorder="1" applyAlignment="1">
      <alignment horizontal="right" vertical="center"/>
    </xf>
    <xf numFmtId="181" fontId="17" fillId="0" borderId="1" xfId="0" applyNumberFormat="1" applyFont="1" applyBorder="1" applyAlignment="1">
      <alignment horizontal="right" vertical="center"/>
    </xf>
    <xf numFmtId="181" fontId="113" fillId="8" borderId="1" xfId="0" applyNumberFormat="1" applyFont="1" applyFill="1" applyBorder="1" applyAlignment="1">
      <alignment horizontal="right"/>
    </xf>
    <xf numFmtId="181" fontId="40" fillId="0" borderId="1" xfId="12" applyNumberFormat="1" applyFont="1" applyFill="1" applyBorder="1" applyAlignment="1">
      <alignment horizontal="right" vertical="center"/>
    </xf>
    <xf numFmtId="181" fontId="68" fillId="0" borderId="1" xfId="0" applyNumberFormat="1" applyFont="1" applyFill="1" applyBorder="1" applyAlignment="1">
      <alignment horizontal="right" vertical="center"/>
    </xf>
    <xf numFmtId="181" fontId="91" fillId="0" borderId="1" xfId="10" applyNumberFormat="1" applyFont="1" applyFill="1" applyBorder="1" applyAlignment="1">
      <alignment horizontal="right" vertical="center" wrapText="1"/>
    </xf>
    <xf numFmtId="181" fontId="91" fillId="0" borderId="1" xfId="0" applyNumberFormat="1" applyFont="1" applyFill="1" applyBorder="1" applyAlignment="1">
      <alignment horizontal="right" vertical="center"/>
    </xf>
    <xf numFmtId="2" fontId="8" fillId="0" borderId="1" xfId="0" applyNumberFormat="1" applyFont="1" applyFill="1" applyBorder="1" applyAlignment="1">
      <alignment horizontal="right" vertical="center"/>
    </xf>
    <xf numFmtId="2" fontId="8" fillId="0" borderId="1" xfId="0" applyNumberFormat="1" applyFont="1" applyBorder="1" applyAlignment="1">
      <alignment horizontal="right" vertical="center"/>
    </xf>
    <xf numFmtId="181" fontId="12" fillId="0" borderId="1" xfId="0" applyNumberFormat="1" applyFont="1" applyFill="1" applyBorder="1" applyAlignment="1">
      <alignment horizontal="right" vertical="center"/>
    </xf>
    <xf numFmtId="181" fontId="8" fillId="0" borderId="1" xfId="0" applyNumberFormat="1" applyFont="1" applyBorder="1" applyAlignment="1">
      <alignment horizontal="right" vertical="center"/>
    </xf>
    <xf numFmtId="181" fontId="8" fillId="8" borderId="1" xfId="11" applyNumberFormat="1" applyFont="1" applyFill="1" applyBorder="1" applyAlignment="1">
      <alignment horizontal="right" vertical="center" wrapText="1"/>
    </xf>
    <xf numFmtId="181" fontId="64" fillId="2" borderId="1" xfId="0" applyNumberFormat="1" applyFont="1" applyFill="1" applyBorder="1" applyAlignment="1">
      <alignment horizontal="right" vertical="center"/>
    </xf>
    <xf numFmtId="181" fontId="66" fillId="2" borderId="1" xfId="10" applyNumberFormat="1" applyFont="1" applyFill="1" applyBorder="1" applyAlignment="1">
      <alignment horizontal="right" vertical="center" wrapText="1"/>
    </xf>
    <xf numFmtId="181" fontId="66" fillId="2" borderId="1" xfId="0" applyNumberFormat="1" applyFont="1" applyFill="1" applyBorder="1" applyAlignment="1">
      <alignment horizontal="right" vertical="center"/>
    </xf>
    <xf numFmtId="181" fontId="45" fillId="0" borderId="1" xfId="10" applyNumberFormat="1" applyFont="1" applyFill="1" applyBorder="1" applyAlignment="1">
      <alignment horizontal="right" vertical="center" wrapText="1"/>
    </xf>
    <xf numFmtId="3" fontId="8" fillId="0" borderId="1" xfId="0" applyNumberFormat="1" applyFont="1" applyBorder="1" applyAlignment="1">
      <alignment horizontal="right" vertical="center"/>
    </xf>
    <xf numFmtId="181" fontId="40" fillId="0" borderId="1" xfId="0" applyNumberFormat="1" applyFont="1" applyFill="1" applyBorder="1" applyAlignment="1">
      <alignment horizontal="right" vertical="center" wrapText="1"/>
    </xf>
    <xf numFmtId="181" fontId="55" fillId="0" borderId="1" xfId="10" applyNumberFormat="1" applyFont="1" applyFill="1" applyBorder="1" applyAlignment="1">
      <alignment horizontal="right" vertical="center" wrapText="1"/>
    </xf>
    <xf numFmtId="3" fontId="12" fillId="0" borderId="4" xfId="0" applyNumberFormat="1" applyFont="1" applyBorder="1" applyAlignment="1">
      <alignment horizontal="right" vertical="center"/>
    </xf>
    <xf numFmtId="181" fontId="67" fillId="0" borderId="6" xfId="10" applyNumberFormat="1" applyFont="1" applyFill="1" applyBorder="1" applyAlignment="1">
      <alignment horizontal="right" vertical="center" wrapText="1"/>
    </xf>
    <xf numFmtId="181" fontId="67" fillId="0" borderId="6" xfId="0" applyNumberFormat="1" applyFont="1" applyFill="1" applyBorder="1" applyAlignment="1">
      <alignment horizontal="right" vertical="center"/>
    </xf>
    <xf numFmtId="181" fontId="67" fillId="0" borderId="1" xfId="10" applyNumberFormat="1" applyFont="1" applyFill="1" applyBorder="1" applyAlignment="1">
      <alignment horizontal="right" vertical="center" wrapText="1"/>
    </xf>
    <xf numFmtId="181" fontId="67" fillId="0" borderId="1" xfId="0" applyNumberFormat="1" applyFont="1" applyFill="1" applyBorder="1" applyAlignment="1">
      <alignment horizontal="right" vertical="center"/>
    </xf>
    <xf numFmtId="181" fontId="92" fillId="0" borderId="4" xfId="10" applyNumberFormat="1" applyFont="1" applyFill="1" applyBorder="1" applyAlignment="1">
      <alignment horizontal="right" vertical="center" wrapText="1"/>
    </xf>
    <xf numFmtId="181" fontId="92" fillId="0" borderId="4" xfId="0" applyNumberFormat="1" applyFont="1" applyFill="1" applyBorder="1" applyAlignment="1">
      <alignment horizontal="right" vertical="center"/>
    </xf>
    <xf numFmtId="4" fontId="45" fillId="0" borderId="1" xfId="0" applyNumberFormat="1" applyFont="1" applyFill="1" applyBorder="1" applyAlignment="1">
      <alignment horizontal="right" vertical="center"/>
    </xf>
    <xf numFmtId="4" fontId="68" fillId="0" borderId="1" xfId="0" applyNumberFormat="1" applyFont="1" applyFill="1" applyBorder="1" applyAlignment="1">
      <alignment horizontal="right" vertical="center"/>
    </xf>
    <xf numFmtId="0" fontId="40" fillId="0" borderId="1" xfId="0" applyFont="1" applyBorder="1" applyAlignment="1">
      <alignment horizontal="right"/>
    </xf>
    <xf numFmtId="181" fontId="107" fillId="0" borderId="1" xfId="11" applyNumberFormat="1" applyFont="1" applyFill="1" applyBorder="1" applyAlignment="1">
      <alignment horizontal="right" vertical="center" wrapText="1"/>
    </xf>
    <xf numFmtId="181" fontId="107" fillId="0" borderId="1" xfId="0" applyNumberFormat="1" applyFont="1" applyFill="1" applyBorder="1" applyAlignment="1">
      <alignment horizontal="right" vertical="center"/>
    </xf>
    <xf numFmtId="181" fontId="92" fillId="8" borderId="1" xfId="10" applyNumberFormat="1" applyFont="1" applyFill="1" applyBorder="1" applyAlignment="1">
      <alignment horizontal="right" vertical="center" wrapText="1"/>
    </xf>
    <xf numFmtId="181" fontId="92" fillId="8" borderId="1" xfId="0" applyNumberFormat="1" applyFont="1" applyFill="1" applyBorder="1" applyAlignment="1">
      <alignment horizontal="right" vertical="center"/>
    </xf>
    <xf numFmtId="181" fontId="114" fillId="0" borderId="1" xfId="0" applyNumberFormat="1" applyFont="1" applyFill="1" applyBorder="1" applyAlignment="1">
      <alignment horizontal="right" vertical="center"/>
    </xf>
    <xf numFmtId="3" fontId="8" fillId="0" borderId="6" xfId="10" applyNumberFormat="1" applyFont="1" applyFill="1" applyBorder="1" applyAlignment="1">
      <alignment horizontal="right" vertical="center"/>
    </xf>
    <xf numFmtId="4" fontId="87" fillId="0" borderId="1" xfId="0" applyNumberFormat="1" applyFont="1" applyFill="1" applyBorder="1" applyAlignment="1">
      <alignment horizontal="right" vertical="center"/>
    </xf>
    <xf numFmtId="181" fontId="66" fillId="3" borderId="1" xfId="10" applyNumberFormat="1" applyFont="1" applyFill="1" applyBorder="1" applyAlignment="1">
      <alignment horizontal="right" vertical="center" wrapText="1"/>
    </xf>
    <xf numFmtId="181" fontId="66" fillId="3" borderId="1" xfId="0" applyNumberFormat="1" applyFont="1" applyFill="1" applyBorder="1" applyAlignment="1">
      <alignment horizontal="right" vertical="center"/>
    </xf>
    <xf numFmtId="181" fontId="45" fillId="0" borderId="1" xfId="0" applyNumberFormat="1" applyFont="1" applyBorder="1" applyAlignment="1">
      <alignment horizontal="right" wrapText="1"/>
    </xf>
    <xf numFmtId="181" fontId="12" fillId="0" borderId="1" xfId="0" applyNumberFormat="1" applyFont="1" applyFill="1" applyBorder="1" applyAlignment="1">
      <alignment horizontal="right" vertical="center" wrapText="1"/>
    </xf>
    <xf numFmtId="178" fontId="8" fillId="0" borderId="1" xfId="0" applyNumberFormat="1" applyFont="1" applyBorder="1" applyAlignment="1">
      <alignment horizontal="right" vertical="center" wrapText="1"/>
    </xf>
    <xf numFmtId="181" fontId="8" fillId="0" borderId="7" xfId="10" applyNumberFormat="1" applyFont="1" applyFill="1" applyBorder="1" applyAlignment="1">
      <alignment horizontal="right" vertical="center" wrapText="1"/>
    </xf>
    <xf numFmtId="3" fontId="87" fillId="0" borderId="1" xfId="10" applyNumberFormat="1" applyFont="1" applyFill="1" applyBorder="1" applyAlignment="1">
      <alignment horizontal="right" vertical="center"/>
    </xf>
    <xf numFmtId="3" fontId="107" fillId="8" borderId="1" xfId="0" applyNumberFormat="1" applyFont="1" applyFill="1" applyBorder="1" applyAlignment="1">
      <alignment horizontal="right" vertical="center"/>
    </xf>
    <xf numFmtId="4" fontId="112" fillId="0" borderId="1" xfId="0" applyNumberFormat="1" applyFont="1" applyFill="1" applyBorder="1" applyAlignment="1">
      <alignment horizontal="right"/>
    </xf>
    <xf numFmtId="181" fontId="12" fillId="0" borderId="1" xfId="0" applyNumberFormat="1" applyFont="1" applyFill="1" applyBorder="1" applyAlignment="1">
      <alignment horizontal="right" wrapText="1"/>
    </xf>
    <xf numFmtId="0" fontId="0" fillId="0" borderId="1" xfId="0" applyBorder="1" applyAlignment="1">
      <alignment horizontal="right"/>
    </xf>
    <xf numFmtId="4" fontId="62" fillId="8" borderId="1" xfId="0" applyNumberFormat="1" applyFont="1" applyFill="1" applyBorder="1" applyAlignment="1">
      <alignment vertical="center" wrapText="1"/>
    </xf>
    <xf numFmtId="4" fontId="1" fillId="0" borderId="0" xfId="5" applyNumberFormat="1" applyFont="1"/>
    <xf numFmtId="4" fontId="115" fillId="0" borderId="0" xfId="0" applyNumberFormat="1" applyFont="1" applyFill="1"/>
    <xf numFmtId="49" fontId="14" fillId="0" borderId="1" xfId="8" applyNumberFormat="1" applyFont="1" applyFill="1" applyBorder="1" applyAlignment="1">
      <alignment horizontal="justify" vertical="center" wrapText="1"/>
    </xf>
    <xf numFmtId="0" fontId="20" fillId="0" borderId="1" xfId="0" applyFont="1" applyFill="1" applyBorder="1" applyAlignment="1">
      <alignment horizontal="left" vertical="center" wrapText="1"/>
    </xf>
    <xf numFmtId="0" fontId="104" fillId="8" borderId="1" xfId="0" applyFont="1" applyFill="1" applyBorder="1" applyAlignment="1">
      <alignment vertical="center" wrapText="1"/>
    </xf>
    <xf numFmtId="3" fontId="106" fillId="8" borderId="1" xfId="10" applyNumberFormat="1" applyFont="1" applyFill="1" applyBorder="1" applyAlignment="1">
      <alignment vertical="center"/>
    </xf>
    <xf numFmtId="3" fontId="12" fillId="8" borderId="1" xfId="0" applyNumberFormat="1" applyFont="1" applyFill="1" applyBorder="1" applyAlignment="1">
      <alignment wrapText="1"/>
    </xf>
    <xf numFmtId="3" fontId="108" fillId="8" borderId="1" xfId="10" applyNumberFormat="1" applyFont="1" applyFill="1" applyBorder="1" applyAlignment="1">
      <alignment vertical="center"/>
    </xf>
    <xf numFmtId="3" fontId="108" fillId="0" borderId="1" xfId="10" applyNumberFormat="1" applyFont="1" applyFill="1" applyBorder="1" applyAlignment="1">
      <alignment vertical="center"/>
    </xf>
    <xf numFmtId="3" fontId="110" fillId="8" borderId="1" xfId="10" applyNumberFormat="1" applyFont="1" applyFill="1" applyBorder="1" applyAlignment="1">
      <alignment vertical="center" wrapText="1"/>
    </xf>
    <xf numFmtId="3" fontId="12" fillId="8" borderId="1" xfId="0" applyNumberFormat="1" applyFont="1" applyFill="1" applyBorder="1" applyAlignment="1"/>
    <xf numFmtId="3" fontId="8" fillId="8" borderId="1" xfId="10" applyNumberFormat="1" applyFont="1" applyFill="1" applyBorder="1" applyAlignment="1">
      <alignment vertical="center" wrapText="1"/>
    </xf>
    <xf numFmtId="3" fontId="8" fillId="8" borderId="1" xfId="0" applyNumberFormat="1" applyFont="1" applyFill="1" applyBorder="1" applyAlignment="1">
      <alignment wrapText="1"/>
    </xf>
    <xf numFmtId="3" fontId="12" fillId="8" borderId="1" xfId="0" applyNumberFormat="1" applyFont="1" applyFill="1" applyBorder="1" applyAlignment="1">
      <alignment vertical="center"/>
    </xf>
    <xf numFmtId="3" fontId="14" fillId="0" borderId="0" xfId="5" applyNumberFormat="1" applyFont="1" applyFill="1"/>
    <xf numFmtId="4" fontId="0" fillId="0" borderId="0" xfId="0" applyNumberFormat="1" applyFont="1" applyFill="1"/>
    <xf numFmtId="3" fontId="102" fillId="0" borderId="0" xfId="0" applyNumberFormat="1" applyFont="1" applyFill="1"/>
    <xf numFmtId="0" fontId="116" fillId="0" borderId="1" xfId="0" applyFont="1" applyFill="1" applyBorder="1" applyAlignment="1">
      <alignment horizontal="left" vertical="center" wrapText="1"/>
    </xf>
    <xf numFmtId="0" fontId="116" fillId="0" borderId="0" xfId="0" applyFont="1" applyFill="1"/>
    <xf numFmtId="3" fontId="116" fillId="0" borderId="1" xfId="10" applyNumberFormat="1" applyFont="1" applyFill="1" applyBorder="1" applyAlignment="1">
      <alignment horizontal="right" vertical="center" wrapText="1"/>
    </xf>
    <xf numFmtId="0" fontId="116" fillId="8" borderId="1" xfId="0" applyFont="1" applyFill="1" applyBorder="1" applyAlignment="1">
      <alignment horizontal="left" vertical="center" wrapText="1"/>
    </xf>
    <xf numFmtId="3" fontId="116" fillId="8" borderId="1" xfId="10" applyNumberFormat="1" applyFont="1" applyFill="1" applyBorder="1" applyAlignment="1">
      <alignment horizontal="right" vertical="center" wrapText="1"/>
    </xf>
    <xf numFmtId="3" fontId="116" fillId="8" borderId="1" xfId="0" applyNumberFormat="1" applyFont="1" applyFill="1" applyBorder="1" applyAlignment="1">
      <alignment horizontal="right" vertical="center" wrapText="1"/>
    </xf>
    <xf numFmtId="3" fontId="116" fillId="8" borderId="1" xfId="0" applyNumberFormat="1" applyFont="1" applyFill="1" applyBorder="1" applyAlignment="1">
      <alignment horizontal="right" vertical="center"/>
    </xf>
    <xf numFmtId="3" fontId="116" fillId="0" borderId="1" xfId="0" applyNumberFormat="1" applyFont="1" applyFill="1" applyBorder="1" applyAlignment="1">
      <alignment horizontal="right" vertical="center"/>
    </xf>
    <xf numFmtId="3" fontId="116" fillId="0" borderId="0" xfId="0" applyNumberFormat="1" applyFont="1"/>
    <xf numFmtId="0" fontId="116" fillId="3" borderId="0" xfId="0" applyFont="1" applyFill="1"/>
    <xf numFmtId="0" fontId="116" fillId="0" borderId="0" xfId="0" applyFont="1"/>
    <xf numFmtId="4" fontId="116" fillId="8" borderId="1" xfId="10" applyNumberFormat="1" applyFont="1" applyFill="1" applyBorder="1" applyAlignment="1">
      <alignment horizontal="right" vertical="center" wrapText="1"/>
    </xf>
    <xf numFmtId="4" fontId="0" fillId="0" borderId="0" xfId="0" applyNumberFormat="1" applyFont="1" applyFill="1" applyBorder="1"/>
    <xf numFmtId="0" fontId="117" fillId="0" borderId="1" xfId="0" applyFont="1" applyFill="1" applyBorder="1" applyAlignment="1">
      <alignment horizontal="left" vertical="center" wrapText="1"/>
    </xf>
    <xf numFmtId="181" fontId="116" fillId="0" borderId="1" xfId="0" applyNumberFormat="1" applyFont="1" applyFill="1" applyBorder="1" applyAlignment="1">
      <alignment horizontal="right" vertical="center" wrapText="1"/>
    </xf>
    <xf numFmtId="0" fontId="118" fillId="0" borderId="1" xfId="0" applyFont="1" applyFill="1" applyBorder="1" applyAlignment="1">
      <alignment horizontal="left" vertical="center" wrapText="1"/>
    </xf>
    <xf numFmtId="181" fontId="118" fillId="0" borderId="1" xfId="11" applyNumberFormat="1" applyFont="1" applyFill="1" applyBorder="1" applyAlignment="1">
      <alignment horizontal="center" vertical="center" wrapText="1"/>
    </xf>
    <xf numFmtId="181" fontId="118" fillId="0" borderId="1" xfId="0" applyNumberFormat="1" applyFont="1" applyFill="1" applyBorder="1" applyAlignment="1">
      <alignment horizontal="center" vertical="center"/>
    </xf>
    <xf numFmtId="0" fontId="118" fillId="8" borderId="1" xfId="0" applyFont="1" applyFill="1" applyBorder="1" applyAlignment="1">
      <alignment horizontal="left" vertical="center" wrapText="1"/>
    </xf>
    <xf numFmtId="181" fontId="118" fillId="8" borderId="1" xfId="0" applyNumberFormat="1" applyFont="1" applyFill="1" applyBorder="1" applyAlignment="1">
      <alignment horizontal="center" vertical="center"/>
    </xf>
    <xf numFmtId="0" fontId="118" fillId="0" borderId="7" xfId="0" applyFont="1" applyFill="1" applyBorder="1" applyAlignment="1">
      <alignment horizontal="left" vertical="center" wrapText="1"/>
    </xf>
    <xf numFmtId="181" fontId="118" fillId="0" borderId="7" xfId="11" applyNumberFormat="1" applyFont="1" applyFill="1" applyBorder="1" applyAlignment="1">
      <alignment horizontal="center" vertical="center" wrapText="1"/>
    </xf>
    <xf numFmtId="181" fontId="118" fillId="0" borderId="7" xfId="0" applyNumberFormat="1" applyFont="1" applyFill="1" applyBorder="1" applyAlignment="1">
      <alignment horizontal="center" vertical="center"/>
    </xf>
    <xf numFmtId="3" fontId="118" fillId="0" borderId="1" xfId="10" applyNumberFormat="1" applyFont="1" applyFill="1" applyBorder="1" applyAlignment="1">
      <alignment horizontal="right" vertical="center"/>
    </xf>
    <xf numFmtId="181" fontId="118" fillId="0" borderId="1" xfId="0" applyNumberFormat="1" applyFont="1" applyFill="1" applyBorder="1" applyAlignment="1">
      <alignment horizontal="right" vertical="center"/>
    </xf>
    <xf numFmtId="181" fontId="119" fillId="0" borderId="1" xfId="0" applyNumberFormat="1" applyFont="1" applyBorder="1" applyAlignment="1">
      <alignment wrapText="1"/>
    </xf>
    <xf numFmtId="181" fontId="116" fillId="0" borderId="0" xfId="0" applyNumberFormat="1" applyFont="1"/>
    <xf numFmtId="0" fontId="93" fillId="0" borderId="1" xfId="0" applyFont="1" applyFill="1" applyBorder="1" applyAlignment="1">
      <alignment horizontal="left" vertical="center" wrapText="1"/>
    </xf>
    <xf numFmtId="181" fontId="93" fillId="0" borderId="1" xfId="11" applyNumberFormat="1" applyFont="1" applyFill="1" applyBorder="1" applyAlignment="1">
      <alignment horizontal="right" vertical="center" wrapText="1"/>
    </xf>
    <xf numFmtId="181" fontId="93" fillId="0" borderId="1" xfId="0" applyNumberFormat="1" applyFont="1" applyFill="1" applyBorder="1" applyAlignment="1">
      <alignment horizontal="right" vertical="center"/>
    </xf>
    <xf numFmtId="3" fontId="93" fillId="0" borderId="1" xfId="0" applyNumberFormat="1" applyFont="1" applyFill="1" applyBorder="1" applyAlignment="1">
      <alignment horizontal="right" vertical="center"/>
    </xf>
    <xf numFmtId="0" fontId="118" fillId="8" borderId="0" xfId="0" applyFont="1" applyFill="1" applyBorder="1" applyAlignment="1">
      <alignment horizontal="left" vertical="center" wrapText="1"/>
    </xf>
    <xf numFmtId="0" fontId="118" fillId="0" borderId="1" xfId="0" applyFont="1" applyBorder="1" applyAlignment="1">
      <alignment horizontal="left" vertical="top" wrapText="1"/>
    </xf>
    <xf numFmtId="0" fontId="120" fillId="0" borderId="9" xfId="0" applyFont="1" applyFill="1" applyBorder="1" applyAlignment="1">
      <alignment horizontal="justify" vertical="center" wrapText="1"/>
    </xf>
    <xf numFmtId="0" fontId="121" fillId="0" borderId="0" xfId="0" applyFont="1"/>
    <xf numFmtId="4" fontId="105" fillId="0" borderId="1" xfId="0" applyNumberFormat="1" applyFont="1" applyFill="1" applyBorder="1" applyAlignment="1">
      <alignment vertical="center" wrapText="1"/>
    </xf>
    <xf numFmtId="0" fontId="31" fillId="0" borderId="3" xfId="0" applyFont="1" applyFill="1" applyBorder="1" applyAlignment="1">
      <alignment vertical="center" wrapText="1"/>
    </xf>
    <xf numFmtId="0" fontId="93" fillId="0" borderId="1" xfId="11" applyFont="1" applyFill="1" applyBorder="1" applyAlignment="1">
      <alignment horizontal="left" vertical="center" wrapText="1"/>
    </xf>
    <xf numFmtId="0" fontId="88" fillId="0" borderId="0" xfId="0" applyFont="1" applyAlignment="1">
      <alignment wrapText="1"/>
    </xf>
    <xf numFmtId="0" fontId="88" fillId="8" borderId="0" xfId="0" applyFont="1" applyFill="1"/>
    <xf numFmtId="3" fontId="88" fillId="8" borderId="0" xfId="0" applyNumberFormat="1" applyFont="1" applyFill="1"/>
    <xf numFmtId="0" fontId="88" fillId="0" borderId="0" xfId="0" applyFont="1"/>
    <xf numFmtId="0" fontId="21" fillId="0" borderId="0" xfId="0" applyFont="1" applyAlignment="1">
      <alignment horizontal="right"/>
    </xf>
    <xf numFmtId="178" fontId="9" fillId="0" borderId="0" xfId="0" applyNumberFormat="1" applyFont="1" applyBorder="1" applyAlignment="1">
      <alignment horizontal="left" wrapText="1"/>
    </xf>
    <xf numFmtId="181" fontId="116" fillId="0" borderId="1" xfId="10" applyNumberFormat="1" applyFont="1" applyFill="1" applyBorder="1" applyAlignment="1">
      <alignment horizontal="right" vertical="center" wrapText="1"/>
    </xf>
    <xf numFmtId="181" fontId="122" fillId="0" borderId="3" xfId="0" applyNumberFormat="1" applyFont="1" applyBorder="1" applyAlignment="1">
      <alignment horizontal="center" wrapText="1"/>
    </xf>
    <xf numFmtId="181" fontId="122" fillId="0" borderId="1" xfId="0" applyNumberFormat="1" applyFont="1" applyBorder="1" applyAlignment="1">
      <alignment horizontal="center" wrapText="1"/>
    </xf>
    <xf numFmtId="181" fontId="116" fillId="0" borderId="1" xfId="0" applyNumberFormat="1" applyFont="1" applyFill="1" applyBorder="1" applyAlignment="1">
      <alignment horizontal="right" vertical="center"/>
    </xf>
    <xf numFmtId="181" fontId="122" fillId="0" borderId="3" xfId="0" applyNumberFormat="1" applyFont="1" applyFill="1" applyBorder="1" applyAlignment="1">
      <alignment horizontal="center" wrapText="1"/>
    </xf>
    <xf numFmtId="181" fontId="122" fillId="0" borderId="1" xfId="0" applyNumberFormat="1" applyFont="1" applyFill="1" applyBorder="1" applyAlignment="1">
      <alignment horizontal="center" wrapText="1"/>
    </xf>
    <xf numFmtId="3" fontId="116" fillId="0" borderId="1" xfId="2" applyNumberFormat="1" applyFont="1" applyFill="1" applyBorder="1" applyAlignment="1">
      <alignment horizontal="right"/>
    </xf>
    <xf numFmtId="3" fontId="25" fillId="11" borderId="1" xfId="0" applyNumberFormat="1" applyFont="1" applyFill="1" applyBorder="1" applyAlignment="1">
      <alignment horizontal="right" vertical="center"/>
    </xf>
    <xf numFmtId="3" fontId="57" fillId="0" borderId="1" xfId="0" applyNumberFormat="1" applyFont="1" applyFill="1" applyBorder="1" applyAlignment="1">
      <alignment horizontal="right" vertical="center"/>
    </xf>
    <xf numFmtId="3" fontId="123" fillId="0" borderId="1" xfId="0" applyNumberFormat="1" applyFont="1" applyBorder="1" applyAlignment="1">
      <alignment horizontal="right" vertical="center"/>
    </xf>
    <xf numFmtId="3" fontId="107" fillId="0" borderId="1" xfId="0" applyNumberFormat="1" applyFont="1" applyBorder="1" applyAlignment="1">
      <alignment horizontal="right" vertical="center"/>
    </xf>
    <xf numFmtId="179" fontId="93" fillId="0" borderId="1" xfId="11" applyNumberFormat="1" applyFont="1" applyFill="1" applyBorder="1" applyAlignment="1">
      <alignment horizontal="right" vertical="center" wrapText="1"/>
    </xf>
    <xf numFmtId="2" fontId="93" fillId="0" borderId="1" xfId="0" applyNumberFormat="1" applyFont="1" applyFill="1" applyBorder="1" applyAlignment="1">
      <alignment horizontal="right" vertical="center"/>
    </xf>
    <xf numFmtId="178" fontId="124" fillId="0" borderId="1" xfId="0" applyNumberFormat="1" applyFont="1" applyFill="1" applyBorder="1" applyAlignment="1">
      <alignment horizontal="right" vertical="center"/>
    </xf>
    <xf numFmtId="3" fontId="123" fillId="8" borderId="1" xfId="0" applyNumberFormat="1" applyFont="1" applyFill="1" applyBorder="1" applyAlignment="1">
      <alignment horizontal="right" vertical="center"/>
    </xf>
    <xf numFmtId="181" fontId="8" fillId="0" borderId="1" xfId="8" applyNumberFormat="1" applyFont="1" applyFill="1" applyBorder="1" applyAlignment="1">
      <alignment horizontal="right" vertical="center" wrapText="1"/>
    </xf>
    <xf numFmtId="3" fontId="12" fillId="0" borderId="1" xfId="10" applyNumberFormat="1" applyFont="1" applyFill="1" applyBorder="1" applyAlignment="1">
      <alignment horizontal="right" vertical="center" wrapText="1"/>
    </xf>
    <xf numFmtId="181" fontId="118" fillId="8" borderId="1" xfId="11" applyNumberFormat="1" applyFont="1" applyFill="1" applyBorder="1" applyAlignment="1">
      <alignment horizontal="center" vertical="center" wrapText="1"/>
    </xf>
    <xf numFmtId="181" fontId="8" fillId="0" borderId="1" xfId="11" applyNumberFormat="1" applyFont="1" applyFill="1" applyBorder="1" applyAlignment="1">
      <alignment horizontal="center" vertical="center" wrapText="1"/>
    </xf>
    <xf numFmtId="3" fontId="87" fillId="8" borderId="1" xfId="10" applyNumberFormat="1" applyFont="1" applyFill="1" applyBorder="1" applyAlignment="1">
      <alignment horizontal="right" vertical="center" wrapText="1"/>
    </xf>
    <xf numFmtId="3" fontId="87" fillId="8" borderId="1" xfId="0" applyNumberFormat="1" applyFont="1" applyFill="1" applyBorder="1" applyAlignment="1">
      <alignment horizontal="right" vertical="center" wrapText="1"/>
    </xf>
    <xf numFmtId="3" fontId="88" fillId="0" borderId="0" xfId="0" applyNumberFormat="1" applyFont="1" applyBorder="1" applyAlignment="1">
      <alignment wrapText="1"/>
    </xf>
    <xf numFmtId="0" fontId="87" fillId="8" borderId="1" xfId="0" applyFont="1" applyFill="1" applyBorder="1" applyAlignment="1">
      <alignment horizontal="left" vertical="center" wrapText="1"/>
    </xf>
    <xf numFmtId="3" fontId="88" fillId="0" borderId="1" xfId="0" applyNumberFormat="1" applyFont="1" applyBorder="1" applyAlignment="1">
      <alignment horizontal="center" wrapText="1"/>
    </xf>
    <xf numFmtId="0" fontId="87" fillId="3" borderId="0" xfId="0" applyFont="1" applyFill="1"/>
    <xf numFmtId="4" fontId="23" fillId="0" borderId="1" xfId="5" applyNumberFormat="1" applyFont="1" applyBorder="1"/>
    <xf numFmtId="3" fontId="88" fillId="0" borderId="0" xfId="0" applyNumberFormat="1" applyFont="1" applyBorder="1" applyAlignment="1">
      <alignment horizontal="center" wrapText="1"/>
    </xf>
    <xf numFmtId="3" fontId="87" fillId="0" borderId="1" xfId="10" applyNumberFormat="1" applyFont="1" applyFill="1" applyBorder="1" applyAlignment="1">
      <alignment horizontal="right" vertical="center" wrapText="1"/>
    </xf>
    <xf numFmtId="3" fontId="88" fillId="3" borderId="0" xfId="0" applyNumberFormat="1" applyFont="1" applyFill="1" applyBorder="1" applyAlignment="1">
      <alignment wrapText="1"/>
    </xf>
    <xf numFmtId="0" fontId="14" fillId="0" borderId="1" xfId="12" applyNumberFormat="1" applyFont="1" applyFill="1" applyBorder="1" applyAlignment="1">
      <alignment vertical="top" wrapText="1"/>
    </xf>
    <xf numFmtId="178" fontId="87" fillId="0" borderId="1" xfId="0" applyNumberFormat="1" applyFont="1" applyFill="1" applyBorder="1" applyAlignment="1">
      <alignment horizontal="right" vertical="center"/>
    </xf>
    <xf numFmtId="181" fontId="87" fillId="0" borderId="1" xfId="0" applyNumberFormat="1" applyFont="1" applyFill="1" applyBorder="1" applyAlignment="1">
      <alignment horizontal="right" vertical="center" wrapText="1"/>
    </xf>
    <xf numFmtId="182" fontId="87" fillId="0" borderId="1" xfId="0" applyNumberFormat="1" applyFont="1" applyFill="1" applyBorder="1" applyAlignment="1">
      <alignment horizontal="right" vertical="center"/>
    </xf>
    <xf numFmtId="3" fontId="87" fillId="0" borderId="1" xfId="2" applyNumberFormat="1" applyFont="1" applyFill="1" applyBorder="1"/>
    <xf numFmtId="178" fontId="87" fillId="0" borderId="1" xfId="0" applyNumberFormat="1" applyFont="1" applyFill="1" applyBorder="1" applyAlignment="1">
      <alignment horizontal="center" vertical="center"/>
    </xf>
    <xf numFmtId="178" fontId="88" fillId="0" borderId="1" xfId="0" applyNumberFormat="1" applyFont="1" applyFill="1" applyBorder="1" applyAlignment="1">
      <alignment horizontal="center" vertical="center"/>
    </xf>
    <xf numFmtId="181" fontId="87" fillId="0" borderId="1" xfId="8" applyNumberFormat="1" applyFont="1" applyFill="1" applyBorder="1" applyAlignment="1">
      <alignment horizontal="right" vertical="center" wrapText="1"/>
    </xf>
    <xf numFmtId="3" fontId="87" fillId="0" borderId="1" xfId="2" applyNumberFormat="1" applyFont="1" applyFill="1" applyBorder="1" applyAlignment="1">
      <alignment horizontal="right"/>
    </xf>
    <xf numFmtId="181" fontId="87" fillId="0" borderId="1" xfId="11" applyNumberFormat="1" applyFont="1" applyFill="1" applyBorder="1" applyAlignment="1">
      <alignment horizontal="right" vertical="center" wrapText="1"/>
    </xf>
    <xf numFmtId="0" fontId="125" fillId="0" borderId="1" xfId="0" applyFont="1" applyFill="1" applyBorder="1" applyAlignment="1">
      <alignment horizontal="left" vertical="center" wrapText="1"/>
    </xf>
    <xf numFmtId="0" fontId="87" fillId="0" borderId="1" xfId="2" applyFont="1" applyFill="1" applyBorder="1" applyAlignment="1">
      <alignment horizontal="right"/>
    </xf>
    <xf numFmtId="0" fontId="76" fillId="0" borderId="1" xfId="5" applyFont="1" applyBorder="1" applyAlignment="1">
      <alignment horizontal="center"/>
    </xf>
    <xf numFmtId="0" fontId="12" fillId="0" borderId="0" xfId="0" applyFont="1" applyBorder="1" applyAlignment="1">
      <alignment horizontal="center" wrapText="1"/>
    </xf>
    <xf numFmtId="3" fontId="12" fillId="8" borderId="0" xfId="0" applyNumberFormat="1" applyFont="1" applyFill="1" applyBorder="1" applyAlignment="1">
      <alignment horizontal="right" vertical="center"/>
    </xf>
    <xf numFmtId="3" fontId="12" fillId="8" borderId="0" xfId="0" applyNumberFormat="1" applyFont="1" applyFill="1" applyBorder="1" applyAlignment="1">
      <alignment horizontal="right"/>
    </xf>
    <xf numFmtId="181" fontId="87" fillId="0" borderId="1" xfId="0" applyNumberFormat="1" applyFont="1" applyFill="1" applyBorder="1" applyAlignment="1">
      <alignment horizontal="center" vertical="center"/>
    </xf>
    <xf numFmtId="181" fontId="126" fillId="0" borderId="1" xfId="0" applyNumberFormat="1" applyFont="1" applyFill="1" applyBorder="1" applyAlignment="1">
      <alignment horizontal="center" vertical="center"/>
    </xf>
    <xf numFmtId="200" fontId="87" fillId="0" borderId="1" xfId="11" applyNumberFormat="1" applyFont="1" applyFill="1" applyBorder="1" applyAlignment="1">
      <alignment horizontal="center" vertical="center" wrapText="1"/>
    </xf>
    <xf numFmtId="201" fontId="87" fillId="0" borderId="1" xfId="11" applyNumberFormat="1" applyFont="1" applyFill="1" applyBorder="1" applyAlignment="1">
      <alignment horizontal="center" vertical="center" wrapText="1"/>
    </xf>
    <xf numFmtId="201" fontId="87" fillId="0" borderId="1" xfId="0" applyNumberFormat="1" applyFont="1" applyFill="1" applyBorder="1" applyAlignment="1">
      <alignment horizontal="center" vertical="center"/>
    </xf>
    <xf numFmtId="200" fontId="87" fillId="0" borderId="1" xfId="0" applyNumberFormat="1" applyFont="1" applyFill="1" applyBorder="1" applyAlignment="1">
      <alignment horizontal="center" vertical="center"/>
    </xf>
    <xf numFmtId="181" fontId="87" fillId="0" borderId="1" xfId="11" applyNumberFormat="1" applyFont="1" applyFill="1" applyBorder="1" applyAlignment="1">
      <alignment horizontal="center" vertical="center" wrapText="1"/>
    </xf>
    <xf numFmtId="181" fontId="87" fillId="8" borderId="1" xfId="11" applyNumberFormat="1" applyFont="1" applyFill="1" applyBorder="1" applyAlignment="1">
      <alignment horizontal="center" vertical="center" wrapText="1"/>
    </xf>
    <xf numFmtId="181" fontId="87" fillId="8" borderId="1" xfId="0" applyNumberFormat="1" applyFont="1" applyFill="1" applyBorder="1" applyAlignment="1">
      <alignment horizontal="center" vertical="center"/>
    </xf>
    <xf numFmtId="181" fontId="87" fillId="0" borderId="1" xfId="0" applyNumberFormat="1" applyFont="1" applyFill="1" applyBorder="1" applyAlignment="1">
      <alignment horizontal="left" vertical="center"/>
    </xf>
    <xf numFmtId="181" fontId="87" fillId="0" borderId="1" xfId="11" applyNumberFormat="1" applyFont="1" applyFill="1" applyBorder="1" applyAlignment="1">
      <alignment horizontal="left" vertical="center" wrapText="1"/>
    </xf>
    <xf numFmtId="181" fontId="126" fillId="0" borderId="1" xfId="0" applyNumberFormat="1" applyFont="1" applyFill="1" applyBorder="1" applyAlignment="1">
      <alignment horizontal="left"/>
    </xf>
    <xf numFmtId="181" fontId="126" fillId="0" borderId="1" xfId="0" applyNumberFormat="1" applyFont="1" applyFill="1" applyBorder="1" applyAlignment="1">
      <alignment horizontal="left" vertical="center"/>
    </xf>
    <xf numFmtId="0" fontId="87" fillId="0" borderId="1" xfId="0" applyFont="1" applyBorder="1" applyAlignment="1">
      <alignment wrapText="1"/>
    </xf>
    <xf numFmtId="178" fontId="115" fillId="0" borderId="1" xfId="0" applyNumberFormat="1" applyFont="1" applyFill="1" applyBorder="1" applyAlignment="1">
      <alignment horizontal="center" vertical="center"/>
    </xf>
    <xf numFmtId="0" fontId="89" fillId="0" borderId="1" xfId="0" applyFont="1" applyBorder="1" applyAlignment="1">
      <alignment vertical="center"/>
    </xf>
    <xf numFmtId="0" fontId="115" fillId="0" borderId="1" xfId="0" applyFont="1" applyBorder="1" applyAlignment="1">
      <alignment vertical="center"/>
    </xf>
    <xf numFmtId="178" fontId="87" fillId="0" borderId="0" xfId="0" applyNumberFormat="1" applyFont="1" applyFill="1" applyAlignment="1">
      <alignment horizontal="center" vertical="center"/>
    </xf>
    <xf numFmtId="181" fontId="126" fillId="0" borderId="1" xfId="0" applyNumberFormat="1" applyFont="1" applyFill="1" applyBorder="1" applyAlignment="1">
      <alignment horizontal="center"/>
    </xf>
    <xf numFmtId="0" fontId="89" fillId="0" borderId="1" xfId="0" applyFont="1" applyBorder="1"/>
    <xf numFmtId="181" fontId="125" fillId="0" borderId="1" xfId="0" applyNumberFormat="1" applyFont="1" applyFill="1" applyBorder="1" applyAlignment="1">
      <alignment horizontal="center" vertical="center"/>
    </xf>
    <xf numFmtId="200" fontId="87" fillId="8" borderId="1" xfId="11" applyNumberFormat="1" applyFont="1" applyFill="1" applyBorder="1" applyAlignment="1">
      <alignment horizontal="center" vertical="center" wrapText="1"/>
    </xf>
    <xf numFmtId="201" fontId="87" fillId="8" borderId="1" xfId="0" applyNumberFormat="1" applyFont="1" applyFill="1" applyBorder="1" applyAlignment="1">
      <alignment horizontal="center" vertical="center"/>
    </xf>
    <xf numFmtId="0" fontId="89" fillId="0" borderId="0" xfId="0" applyFont="1"/>
    <xf numFmtId="0" fontId="127" fillId="0" borderId="1" xfId="0" applyFont="1" applyBorder="1" applyAlignment="1">
      <alignment horizontal="left" wrapText="1"/>
    </xf>
    <xf numFmtId="0" fontId="127" fillId="0" borderId="1" xfId="0" applyFont="1" applyBorder="1" applyAlignment="1">
      <alignment horizontal="justify" vertical="center"/>
    </xf>
    <xf numFmtId="0" fontId="87" fillId="0" borderId="1" xfId="0" applyFont="1" applyBorder="1" applyAlignment="1">
      <alignment horizontal="justify" vertical="center"/>
    </xf>
    <xf numFmtId="181" fontId="87" fillId="0" borderId="1" xfId="0" applyNumberFormat="1" applyFont="1" applyBorder="1" applyAlignment="1">
      <alignment horizontal="center" vertical="center"/>
    </xf>
    <xf numFmtId="181" fontId="126" fillId="8" borderId="1" xfId="0" applyNumberFormat="1" applyFont="1" applyFill="1" applyBorder="1" applyAlignment="1">
      <alignment horizontal="center"/>
    </xf>
    <xf numFmtId="181" fontId="126" fillId="8" borderId="1" xfId="0" applyNumberFormat="1" applyFont="1" applyFill="1" applyBorder="1" applyAlignment="1">
      <alignment horizontal="center" vertical="center"/>
    </xf>
    <xf numFmtId="181" fontId="125" fillId="0" borderId="1" xfId="0" applyNumberFormat="1" applyFont="1" applyFill="1" applyBorder="1" applyAlignment="1">
      <alignment horizontal="center"/>
    </xf>
    <xf numFmtId="0" fontId="87" fillId="0" borderId="1" xfId="0" applyFont="1" applyFill="1" applyBorder="1" applyAlignment="1">
      <alignment horizontal="left" wrapText="1"/>
    </xf>
    <xf numFmtId="202" fontId="87" fillId="0" borderId="1" xfId="11" applyNumberFormat="1" applyFont="1" applyFill="1" applyBorder="1" applyAlignment="1">
      <alignment horizontal="center" vertical="center" wrapText="1"/>
    </xf>
    <xf numFmtId="181" fontId="125" fillId="8" borderId="1" xfId="0" applyNumberFormat="1" applyFont="1" applyFill="1" applyBorder="1" applyAlignment="1">
      <alignment horizontal="center" vertical="center"/>
    </xf>
    <xf numFmtId="181" fontId="87" fillId="0" borderId="1" xfId="0" applyNumberFormat="1" applyFont="1" applyFill="1" applyBorder="1" applyAlignment="1">
      <alignment horizontal="center"/>
    </xf>
    <xf numFmtId="181" fontId="87" fillId="0" borderId="1" xfId="0" applyNumberFormat="1" applyFont="1" applyBorder="1" applyAlignment="1">
      <alignment horizontal="center"/>
    </xf>
    <xf numFmtId="181" fontId="89" fillId="0" borderId="1" xfId="0" applyNumberFormat="1" applyFont="1" applyBorder="1"/>
    <xf numFmtId="0" fontId="127" fillId="0" borderId="0" xfId="0" applyFont="1" applyBorder="1" applyAlignment="1">
      <alignment horizontal="justify" vertical="center"/>
    </xf>
    <xf numFmtId="0" fontId="87" fillId="0" borderId="1" xfId="0" applyFont="1" applyBorder="1" applyAlignment="1">
      <alignment horizontal="left" vertical="top" wrapText="1"/>
    </xf>
    <xf numFmtId="200" fontId="87" fillId="0" borderId="1" xfId="0" applyNumberFormat="1" applyFont="1" applyFill="1" applyBorder="1" applyAlignment="1">
      <alignment horizontal="center" vertical="center" wrapText="1"/>
    </xf>
    <xf numFmtId="200" fontId="87" fillId="0" borderId="2" xfId="0" applyNumberFormat="1" applyFont="1" applyFill="1" applyBorder="1" applyAlignment="1">
      <alignment horizontal="center" vertical="center"/>
    </xf>
    <xf numFmtId="0" fontId="87" fillId="0" borderId="1" xfId="0" applyFont="1" applyFill="1" applyBorder="1" applyAlignment="1">
      <alignment wrapText="1"/>
    </xf>
    <xf numFmtId="201" fontId="87" fillId="8" borderId="1" xfId="11" applyNumberFormat="1" applyFont="1" applyFill="1" applyBorder="1" applyAlignment="1">
      <alignment horizontal="center" vertical="center" wrapText="1"/>
    </xf>
    <xf numFmtId="200" fontId="87" fillId="8" borderId="1" xfId="0" applyNumberFormat="1" applyFont="1" applyFill="1" applyBorder="1" applyAlignment="1">
      <alignment horizontal="center" vertical="center"/>
    </xf>
    <xf numFmtId="181" fontId="107" fillId="0" borderId="1" xfId="11" applyNumberFormat="1" applyFont="1" applyFill="1" applyBorder="1" applyAlignment="1">
      <alignment horizontal="center" vertical="center" wrapText="1"/>
    </xf>
    <xf numFmtId="4" fontId="22" fillId="8" borderId="1" xfId="0" applyNumberFormat="1" applyFont="1" applyFill="1" applyBorder="1" applyAlignment="1">
      <alignment vertical="center" wrapText="1"/>
    </xf>
    <xf numFmtId="4" fontId="105" fillId="8" borderId="1" xfId="0" applyNumberFormat="1" applyFont="1" applyFill="1" applyBorder="1" applyAlignment="1">
      <alignment vertical="center" wrapText="1"/>
    </xf>
    <xf numFmtId="4" fontId="128" fillId="0" borderId="1" xfId="0" applyNumberFormat="1" applyFont="1" applyFill="1" applyBorder="1" applyAlignment="1">
      <alignment vertical="center" wrapText="1"/>
    </xf>
    <xf numFmtId="4" fontId="8" fillId="0" borderId="1" xfId="0" applyNumberFormat="1" applyFont="1" applyFill="1" applyBorder="1" applyAlignment="1">
      <alignment vertical="center" wrapText="1"/>
    </xf>
    <xf numFmtId="4" fontId="22" fillId="0" borderId="1" xfId="15" applyNumberFormat="1" applyFont="1" applyFill="1" applyBorder="1" applyAlignment="1">
      <alignment vertical="center"/>
    </xf>
    <xf numFmtId="3" fontId="129" fillId="0" borderId="1" xfId="0" applyNumberFormat="1" applyFont="1" applyFill="1" applyBorder="1" applyAlignment="1">
      <alignment vertical="top"/>
    </xf>
    <xf numFmtId="179" fontId="8" fillId="0" borderId="1" xfId="11" applyNumberFormat="1" applyFont="1" applyFill="1" applyBorder="1" applyAlignment="1">
      <alignment horizontal="center" vertical="center" wrapText="1"/>
    </xf>
    <xf numFmtId="201" fontId="101" fillId="0" borderId="1" xfId="0" applyNumberFormat="1" applyFont="1" applyFill="1" applyBorder="1" applyAlignment="1">
      <alignment horizontal="center" vertical="center"/>
    </xf>
    <xf numFmtId="201" fontId="123" fillId="0" borderId="1" xfId="0" applyNumberFormat="1" applyFont="1" applyFill="1" applyBorder="1" applyAlignment="1">
      <alignment horizontal="center" vertical="center"/>
    </xf>
    <xf numFmtId="0" fontId="87" fillId="0" borderId="1" xfId="11" applyFont="1" applyFill="1" applyBorder="1" applyAlignment="1">
      <alignment horizontal="left" vertical="center" wrapText="1"/>
    </xf>
    <xf numFmtId="49" fontId="14" fillId="0" borderId="6"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8" fillId="0" borderId="1" xfId="0" applyFont="1" applyBorder="1" applyAlignment="1">
      <alignment horizontal="center" vertical="top" wrapText="1"/>
    </xf>
    <xf numFmtId="0" fontId="14" fillId="0" borderId="1" xfId="0" applyFont="1" applyFill="1" applyBorder="1" applyAlignment="1">
      <alignment horizontal="center" vertical="top" wrapText="1"/>
    </xf>
    <xf numFmtId="0" fontId="22" fillId="0" borderId="7" xfId="0" applyFont="1" applyFill="1" applyBorder="1" applyAlignment="1">
      <alignment horizontal="left" vertical="top" wrapText="1"/>
    </xf>
    <xf numFmtId="0" fontId="2" fillId="0" borderId="0" xfId="0" applyFont="1" applyAlignment="1">
      <alignment horizontal="center"/>
    </xf>
    <xf numFmtId="0" fontId="22" fillId="0" borderId="7" xfId="0" applyFont="1" applyFill="1" applyBorder="1" applyAlignment="1">
      <alignment horizontal="center" vertical="top" wrapText="1"/>
    </xf>
    <xf numFmtId="0" fontId="62" fillId="8" borderId="7" xfId="0" applyFont="1" applyFill="1" applyBorder="1" applyAlignment="1">
      <alignment horizontal="left" vertical="top" wrapText="1" shrinkToFit="1"/>
    </xf>
    <xf numFmtId="0" fontId="32" fillId="0" borderId="0" xfId="0" applyFont="1" applyFill="1" applyAlignment="1">
      <alignment horizontal="center"/>
    </xf>
    <xf numFmtId="3" fontId="130" fillId="5" borderId="1" xfId="0" applyNumberFormat="1" applyFont="1" applyFill="1" applyBorder="1" applyAlignment="1">
      <alignment vertical="top"/>
    </xf>
    <xf numFmtId="3" fontId="14" fillId="8" borderId="1" xfId="0" applyNumberFormat="1" applyFont="1" applyFill="1" applyBorder="1" applyAlignment="1">
      <alignment vertical="top"/>
    </xf>
    <xf numFmtId="3" fontId="125" fillId="0" borderId="1" xfId="0" applyNumberFormat="1" applyFont="1" applyFill="1" applyBorder="1" applyAlignment="1">
      <alignment vertical="top"/>
    </xf>
    <xf numFmtId="3" fontId="44" fillId="0" borderId="1" xfId="0" applyNumberFormat="1" applyFont="1" applyFill="1" applyBorder="1" applyAlignment="1">
      <alignment vertical="top"/>
    </xf>
    <xf numFmtId="3" fontId="31" fillId="8" borderId="1" xfId="0" applyNumberFormat="1" applyFont="1" applyFill="1" applyBorder="1" applyAlignment="1">
      <alignment vertical="top"/>
    </xf>
    <xf numFmtId="3" fontId="22" fillId="8" borderId="1" xfId="0" applyNumberFormat="1" applyFont="1" applyFill="1" applyBorder="1" applyAlignment="1">
      <alignment vertical="top"/>
    </xf>
    <xf numFmtId="3" fontId="21" fillId="0" borderId="2" xfId="0" applyNumberFormat="1" applyFont="1" applyFill="1" applyBorder="1" applyAlignment="1">
      <alignment vertical="top"/>
    </xf>
    <xf numFmtId="3" fontId="22" fillId="8" borderId="1" xfId="0" applyNumberFormat="1" applyFont="1" applyFill="1" applyBorder="1" applyAlignment="1">
      <alignment horizontal="right" vertical="top" wrapText="1"/>
    </xf>
    <xf numFmtId="3" fontId="14" fillId="8" borderId="1" xfId="0" applyNumberFormat="1" applyFont="1" applyFill="1" applyBorder="1" applyAlignment="1">
      <alignment horizontal="right" vertical="top"/>
    </xf>
    <xf numFmtId="3" fontId="22" fillId="8" borderId="2" xfId="0" applyNumberFormat="1" applyFont="1" applyFill="1" applyBorder="1" applyAlignment="1">
      <alignment horizontal="right" vertical="top" wrapText="1"/>
    </xf>
    <xf numFmtId="0" fontId="12" fillId="0" borderId="2" xfId="0" applyFont="1" applyFill="1" applyBorder="1" applyAlignment="1"/>
    <xf numFmtId="3" fontId="12" fillId="0" borderId="1" xfId="10" applyNumberFormat="1" applyFont="1" applyFill="1" applyBorder="1" applyAlignment="1">
      <alignment horizontal="right" vertical="center"/>
    </xf>
    <xf numFmtId="0" fontId="8" fillId="0" borderId="4" xfId="0" applyFont="1" applyBorder="1" applyAlignment="1">
      <alignment horizontal="center"/>
    </xf>
    <xf numFmtId="0" fontId="8" fillId="0" borderId="4" xfId="0" applyFont="1" applyFill="1" applyBorder="1" applyAlignment="1">
      <alignment horizontal="center" vertical="center"/>
    </xf>
    <xf numFmtId="0" fontId="26" fillId="0" borderId="6" xfId="0" applyFont="1" applyFill="1" applyBorder="1" applyAlignment="1">
      <alignment horizontal="center" vertical="top" wrapText="1"/>
    </xf>
    <xf numFmtId="0" fontId="26" fillId="0" borderId="6" xfId="0" applyFont="1" applyFill="1" applyBorder="1" applyAlignment="1">
      <alignment vertical="top" wrapText="1"/>
    </xf>
    <xf numFmtId="4" fontId="12" fillId="0" borderId="6" xfId="0" applyNumberFormat="1" applyFont="1" applyBorder="1" applyAlignment="1">
      <alignment horizontal="center"/>
    </xf>
    <xf numFmtId="0" fontId="8" fillId="0" borderId="9" xfId="0" applyFont="1" applyBorder="1" applyAlignment="1">
      <alignment horizontal="center"/>
    </xf>
    <xf numFmtId="0" fontId="8" fillId="0" borderId="9" xfId="0" applyFont="1" applyFill="1" applyBorder="1" applyAlignment="1">
      <alignment horizontal="center" vertical="center"/>
    </xf>
    <xf numFmtId="0" fontId="8" fillId="0" borderId="3" xfId="0" applyFont="1" applyFill="1" applyBorder="1" applyAlignment="1">
      <alignment horizontal="center" vertical="center"/>
    </xf>
    <xf numFmtId="0" fontId="12" fillId="0" borderId="1" xfId="0" applyFont="1" applyBorder="1" applyAlignment="1"/>
    <xf numFmtId="0" fontId="8" fillId="0" borderId="1" xfId="0" applyFont="1" applyBorder="1" applyAlignment="1">
      <alignment vertical="center"/>
    </xf>
    <xf numFmtId="0" fontId="8" fillId="0" borderId="1" xfId="0" applyFont="1" applyFill="1" applyBorder="1" applyAlignment="1">
      <alignment vertical="center"/>
    </xf>
    <xf numFmtId="0" fontId="12" fillId="0" borderId="1" xfId="0" applyFont="1" applyBorder="1" applyAlignment="1">
      <alignment horizontal="center" wrapText="1"/>
    </xf>
    <xf numFmtId="3" fontId="8" fillId="0" borderId="1" xfId="0" applyNumberFormat="1" applyFont="1" applyBorder="1" applyAlignment="1">
      <alignment horizontal="center" wrapText="1"/>
    </xf>
    <xf numFmtId="3" fontId="12" fillId="0" borderId="1" xfId="0" applyNumberFormat="1" applyFont="1" applyBorder="1"/>
    <xf numFmtId="3" fontId="12" fillId="8" borderId="1" xfId="15" applyNumberFormat="1" applyFont="1" applyFill="1" applyBorder="1" applyAlignment="1">
      <alignment horizontal="center"/>
    </xf>
    <xf numFmtId="0" fontId="2" fillId="0" borderId="0" xfId="0" applyFont="1" applyAlignment="1"/>
    <xf numFmtId="4" fontId="21" fillId="5" borderId="0" xfId="0" applyNumberFormat="1" applyFont="1" applyFill="1" applyBorder="1" applyAlignment="1">
      <alignment vertical="top"/>
    </xf>
    <xf numFmtId="4" fontId="22" fillId="8" borderId="0" xfId="0" applyNumberFormat="1" applyFont="1" applyFill="1" applyBorder="1" applyAlignment="1">
      <alignment vertical="center" wrapText="1"/>
    </xf>
    <xf numFmtId="4" fontId="62" fillId="8" borderId="0" xfId="0" applyNumberFormat="1" applyFont="1" applyFill="1" applyBorder="1" applyAlignment="1">
      <alignment vertical="center" wrapText="1"/>
    </xf>
    <xf numFmtId="4" fontId="105" fillId="8" borderId="0" xfId="0" applyNumberFormat="1" applyFont="1" applyFill="1" applyBorder="1" applyAlignment="1">
      <alignment vertical="center" wrapText="1"/>
    </xf>
    <xf numFmtId="4" fontId="105" fillId="0" borderId="0" xfId="0" applyNumberFormat="1" applyFont="1" applyFill="1" applyBorder="1" applyAlignment="1">
      <alignment vertical="center" wrapText="1"/>
    </xf>
    <xf numFmtId="4" fontId="128" fillId="0" borderId="0" xfId="0" applyNumberFormat="1" applyFont="1" applyFill="1" applyBorder="1" applyAlignment="1">
      <alignment vertical="center" wrapText="1"/>
    </xf>
    <xf numFmtId="4" fontId="8" fillId="0" borderId="0" xfId="0" applyNumberFormat="1" applyFont="1" applyFill="1" applyBorder="1" applyAlignment="1">
      <alignment vertical="center" wrapText="1"/>
    </xf>
    <xf numFmtId="0" fontId="22" fillId="0" borderId="4" xfId="0" applyFont="1" applyFill="1" applyBorder="1" applyAlignment="1">
      <alignment vertical="top" wrapText="1" shrinkToFit="1"/>
    </xf>
    <xf numFmtId="0" fontId="62" fillId="8" borderId="4" xfId="0" applyFont="1" applyFill="1" applyBorder="1" applyAlignment="1">
      <alignment vertical="top" wrapText="1" shrinkToFit="1"/>
    </xf>
    <xf numFmtId="0" fontId="62" fillId="8" borderId="7" xfId="0" applyFont="1" applyFill="1" applyBorder="1" applyAlignment="1">
      <alignment vertical="top" wrapText="1" shrinkToFit="1"/>
    </xf>
    <xf numFmtId="0" fontId="22" fillId="0" borderId="4" xfId="0" applyFont="1" applyFill="1" applyBorder="1" applyAlignment="1">
      <alignment vertical="top"/>
    </xf>
    <xf numFmtId="0" fontId="22" fillId="0" borderId="7" xfId="0" applyFont="1" applyFill="1" applyBorder="1" applyAlignment="1">
      <alignment vertical="top"/>
    </xf>
    <xf numFmtId="0" fontId="22" fillId="0" borderId="6" xfId="0" applyFont="1" applyFill="1" applyBorder="1" applyAlignment="1">
      <alignment vertical="top"/>
    </xf>
    <xf numFmtId="0" fontId="22" fillId="0" borderId="0" xfId="0" applyFont="1" applyFill="1" applyBorder="1" applyAlignment="1">
      <alignment vertical="top"/>
    </xf>
    <xf numFmtId="0" fontId="12" fillId="0" borderId="0" xfId="0" applyFont="1" applyFill="1" applyBorder="1" applyAlignment="1">
      <alignment horizontal="justify" vertical="center" wrapText="1"/>
    </xf>
    <xf numFmtId="0" fontId="21" fillId="0" borderId="1" xfId="0" applyFont="1" applyFill="1" applyBorder="1" applyAlignment="1">
      <alignment horizontal="center" vertical="top"/>
    </xf>
    <xf numFmtId="0" fontId="12" fillId="0" borderId="3"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1" fillId="0" borderId="0" xfId="0" applyFont="1" applyAlignment="1">
      <alignment horizontal="center"/>
    </xf>
    <xf numFmtId="0" fontId="21" fillId="0" borderId="1" xfId="0" applyFont="1" applyFill="1" applyBorder="1" applyAlignment="1">
      <alignment horizontal="left" vertical="top"/>
    </xf>
    <xf numFmtId="2" fontId="0" fillId="0" borderId="0" xfId="0" applyNumberFormat="1" applyFont="1"/>
    <xf numFmtId="3" fontId="21" fillId="5" borderId="10" xfId="0" applyNumberFormat="1" applyFont="1" applyFill="1" applyBorder="1" applyAlignment="1">
      <alignment vertical="top"/>
    </xf>
    <xf numFmtId="0" fontId="14" fillId="0" borderId="2" xfId="0" applyFont="1" applyFill="1" applyBorder="1" applyAlignment="1">
      <alignment vertical="top" wrapText="1"/>
    </xf>
    <xf numFmtId="3" fontId="22" fillId="0" borderId="2" xfId="0" applyNumberFormat="1" applyFont="1" applyFill="1" applyBorder="1" applyAlignment="1">
      <alignment horizontal="right" vertical="top"/>
    </xf>
    <xf numFmtId="0" fontId="31" fillId="8" borderId="2" xfId="6" applyFont="1" applyFill="1" applyBorder="1" applyAlignment="1">
      <alignment vertical="center" wrapText="1"/>
    </xf>
    <xf numFmtId="0" fontId="31" fillId="0" borderId="2" xfId="6" applyFont="1" applyFill="1" applyBorder="1" applyAlignment="1">
      <alignment vertical="top" wrapText="1"/>
    </xf>
    <xf numFmtId="3" fontId="21" fillId="5" borderId="2" xfId="0" applyNumberFormat="1" applyFont="1" applyFill="1" applyBorder="1" applyAlignment="1">
      <alignment vertical="top"/>
    </xf>
    <xf numFmtId="0" fontId="31" fillId="0" borderId="9" xfId="0" applyFont="1" applyFill="1" applyBorder="1" applyAlignment="1">
      <alignment vertical="center" wrapText="1"/>
    </xf>
    <xf numFmtId="0" fontId="31" fillId="0" borderId="2" xfId="0" applyFont="1" applyFill="1" applyBorder="1" applyAlignment="1">
      <alignment vertical="center" wrapText="1"/>
    </xf>
    <xf numFmtId="4" fontId="21" fillId="5" borderId="2" xfId="0" applyNumberFormat="1" applyFont="1" applyFill="1" applyBorder="1" applyAlignment="1">
      <alignment vertical="top"/>
    </xf>
    <xf numFmtId="4" fontId="14" fillId="0" borderId="2" xfId="0" applyNumberFormat="1" applyFont="1" applyFill="1" applyBorder="1" applyAlignment="1">
      <alignment horizontal="right" vertical="top"/>
    </xf>
    <xf numFmtId="4" fontId="14" fillId="0" borderId="2" xfId="0" applyNumberFormat="1" applyFont="1" applyFill="1" applyBorder="1" applyAlignment="1">
      <alignment vertical="top"/>
    </xf>
    <xf numFmtId="4" fontId="33" fillId="5" borderId="2" xfId="0" applyNumberFormat="1" applyFont="1" applyFill="1" applyBorder="1" applyAlignment="1">
      <alignment vertical="top"/>
    </xf>
    <xf numFmtId="4" fontId="31" fillId="0" borderId="2" xfId="0" applyNumberFormat="1" applyFont="1" applyFill="1" applyBorder="1" applyAlignment="1">
      <alignment vertical="top"/>
    </xf>
    <xf numFmtId="0" fontId="14" fillId="8" borderId="2" xfId="0" applyFont="1" applyFill="1" applyBorder="1" applyAlignment="1">
      <alignment vertical="top" wrapText="1" shrinkToFit="1"/>
    </xf>
    <xf numFmtId="0" fontId="14" fillId="0" borderId="2" xfId="0" applyFont="1" applyFill="1" applyBorder="1" applyAlignment="1">
      <alignment vertical="top" wrapText="1" shrinkToFit="1"/>
    </xf>
    <xf numFmtId="3" fontId="31" fillId="0" borderId="2" xfId="0" applyNumberFormat="1" applyFont="1" applyFill="1" applyBorder="1" applyAlignment="1">
      <alignment vertical="top"/>
    </xf>
    <xf numFmtId="0" fontId="22" fillId="0" borderId="2" xfId="0" applyFont="1" applyFill="1" applyBorder="1" applyAlignment="1">
      <alignment horizontal="left" vertical="top" wrapText="1" shrinkToFit="1"/>
    </xf>
    <xf numFmtId="3" fontId="14" fillId="0" borderId="5" xfId="0" applyNumberFormat="1" applyFont="1" applyFill="1" applyBorder="1" applyAlignment="1">
      <alignment vertical="top" wrapText="1"/>
    </xf>
    <xf numFmtId="0" fontId="22" fillId="0" borderId="2" xfId="0" applyFont="1" applyFill="1" applyBorder="1" applyAlignment="1">
      <alignment vertical="top" wrapText="1" shrinkToFit="1"/>
    </xf>
    <xf numFmtId="2" fontId="14" fillId="0" borderId="2" xfId="0" applyNumberFormat="1" applyFont="1" applyFill="1" applyBorder="1" applyAlignment="1">
      <alignment vertical="top"/>
    </xf>
    <xf numFmtId="0" fontId="14" fillId="0" borderId="2" xfId="6" applyFont="1" applyFill="1" applyBorder="1" applyAlignment="1">
      <alignment vertical="top" wrapText="1"/>
    </xf>
    <xf numFmtId="0" fontId="31" fillId="0" borderId="2" xfId="0" applyFont="1" applyFill="1" applyBorder="1" applyAlignment="1">
      <alignment wrapText="1"/>
    </xf>
    <xf numFmtId="0" fontId="31" fillId="0" borderId="2" xfId="0" applyFont="1" applyFill="1" applyBorder="1" applyAlignment="1">
      <alignment vertical="top" wrapText="1"/>
    </xf>
    <xf numFmtId="0" fontId="31" fillId="8" borderId="2" xfId="6" applyFont="1" applyFill="1" applyBorder="1" applyAlignment="1">
      <alignment vertical="top" wrapText="1"/>
    </xf>
    <xf numFmtId="0" fontId="17" fillId="0" borderId="1" xfId="0" applyFont="1" applyBorder="1" applyAlignment="1">
      <alignment horizontal="center" vertical="top"/>
    </xf>
    <xf numFmtId="0" fontId="17" fillId="0" borderId="1" xfId="0" applyFont="1" applyBorder="1" applyAlignment="1">
      <alignment horizontal="center" vertical="top" wrapText="1"/>
    </xf>
    <xf numFmtId="0" fontId="14" fillId="0" borderId="1" xfId="5" applyFont="1" applyBorder="1" applyAlignment="1">
      <alignment horizontal="center" vertical="top" wrapText="1"/>
    </xf>
    <xf numFmtId="49" fontId="16" fillId="0" borderId="1" xfId="0" applyNumberFormat="1" applyFont="1" applyFill="1" applyBorder="1" applyAlignment="1">
      <alignment horizontal="center" vertical="top"/>
    </xf>
    <xf numFmtId="0" fontId="16" fillId="0" borderId="1" xfId="0" applyFont="1" applyFill="1" applyBorder="1" applyAlignment="1">
      <alignment horizontal="center" vertical="top"/>
    </xf>
    <xf numFmtId="0" fontId="14" fillId="0" borderId="2" xfId="0" applyFont="1" applyFill="1" applyBorder="1" applyAlignment="1">
      <alignment horizontal="center" vertical="top" wrapText="1"/>
    </xf>
    <xf numFmtId="0" fontId="17" fillId="0" borderId="0" xfId="0" applyFont="1" applyFill="1" applyAlignment="1">
      <alignment vertical="top"/>
    </xf>
    <xf numFmtId="4" fontId="33" fillId="5" borderId="1" xfId="0" applyNumberFormat="1" applyFont="1" applyFill="1" applyBorder="1" applyAlignment="1">
      <alignment horizontal="center" vertical="top"/>
    </xf>
    <xf numFmtId="4" fontId="33" fillId="5" borderId="2" xfId="0" applyNumberFormat="1" applyFont="1" applyFill="1" applyBorder="1" applyAlignment="1">
      <alignment horizontal="center" vertical="top"/>
    </xf>
    <xf numFmtId="49" fontId="131" fillId="0" borderId="0" xfId="0" applyNumberFormat="1" applyFont="1" applyFill="1"/>
    <xf numFmtId="0" fontId="131" fillId="0" borderId="0" xfId="0" applyFont="1" applyFill="1"/>
    <xf numFmtId="0" fontId="98" fillId="0" borderId="0" xfId="0" applyFont="1" applyFill="1"/>
    <xf numFmtId="0" fontId="131" fillId="0" borderId="0" xfId="0" applyFont="1" applyFill="1" applyAlignment="1"/>
    <xf numFmtId="0" fontId="98" fillId="0" borderId="0" xfId="0" applyFont="1" applyFill="1" applyBorder="1"/>
    <xf numFmtId="0" fontId="131" fillId="0" borderId="0" xfId="0" applyFont="1" applyFill="1" applyAlignment="1">
      <alignment horizontal="center"/>
    </xf>
    <xf numFmtId="49" fontId="131" fillId="0" borderId="0" xfId="0" applyNumberFormat="1" applyFont="1" applyFill="1" applyBorder="1"/>
    <xf numFmtId="0" fontId="131" fillId="0" borderId="0" xfId="0" applyFont="1" applyFill="1" applyBorder="1"/>
    <xf numFmtId="0" fontId="132" fillId="0" borderId="0" xfId="5" applyFont="1" applyAlignment="1">
      <alignment horizontal="right"/>
    </xf>
    <xf numFmtId="0" fontId="131" fillId="0" borderId="2" xfId="0" applyFont="1" applyFill="1" applyBorder="1" applyAlignment="1">
      <alignment vertical="top"/>
    </xf>
    <xf numFmtId="0" fontId="131" fillId="0" borderId="3" xfId="0" applyFont="1" applyFill="1" applyBorder="1" applyAlignment="1">
      <alignment vertical="top"/>
    </xf>
    <xf numFmtId="0" fontId="132" fillId="0" borderId="11" xfId="0" applyFont="1" applyFill="1" applyBorder="1" applyAlignment="1">
      <alignment horizontal="center" vertical="top" wrapText="1"/>
    </xf>
    <xf numFmtId="49" fontId="133" fillId="0" borderId="1" xfId="0" applyNumberFormat="1" applyFont="1" applyFill="1" applyBorder="1" applyAlignment="1">
      <alignment horizontal="center"/>
    </xf>
    <xf numFmtId="0" fontId="133" fillId="0" borderId="1" xfId="0" applyFont="1" applyFill="1" applyBorder="1" applyAlignment="1">
      <alignment horizontal="center"/>
    </xf>
    <xf numFmtId="0" fontId="133" fillId="0" borderId="9" xfId="0" applyFont="1" applyFill="1" applyBorder="1" applyAlignment="1">
      <alignment horizontal="center"/>
    </xf>
    <xf numFmtId="4" fontId="130" fillId="5" borderId="6" xfId="0" applyNumberFormat="1" applyFont="1" applyFill="1" applyBorder="1" applyAlignment="1">
      <alignment horizontal="right" vertical="top"/>
    </xf>
    <xf numFmtId="3" fontId="134" fillId="5" borderId="0" xfId="0" applyNumberFormat="1" applyFont="1" applyFill="1" applyBorder="1"/>
    <xf numFmtId="49" fontId="130" fillId="5" borderId="6" xfId="0" applyNumberFormat="1" applyFont="1" applyFill="1" applyBorder="1" applyAlignment="1">
      <alignment horizontal="center" vertical="top" wrapText="1"/>
    </xf>
    <xf numFmtId="0" fontId="130" fillId="5" borderId="6" xfId="0" applyFont="1" applyFill="1" applyBorder="1" applyAlignment="1">
      <alignment horizontal="left" vertical="top" wrapText="1" shrinkToFit="1"/>
    </xf>
    <xf numFmtId="3" fontId="130" fillId="5" borderId="6" xfId="0" applyNumberFormat="1" applyFont="1" applyFill="1" applyBorder="1" applyAlignment="1">
      <alignment vertical="top"/>
    </xf>
    <xf numFmtId="0" fontId="134" fillId="5" borderId="0" xfId="0" applyFont="1" applyFill="1" applyBorder="1"/>
    <xf numFmtId="49" fontId="135" fillId="0" borderId="4" xfId="0" applyNumberFormat="1" applyFont="1" applyFill="1" applyBorder="1" applyAlignment="1">
      <alignment horizontal="center" vertical="top"/>
    </xf>
    <xf numFmtId="0" fontId="135" fillId="0" borderId="4" xfId="0" applyFont="1" applyFill="1" applyBorder="1" applyAlignment="1">
      <alignment horizontal="left" vertical="top" wrapText="1" shrinkToFit="1"/>
    </xf>
    <xf numFmtId="3" fontId="135" fillId="0" borderId="1" xfId="0" applyNumberFormat="1" applyFont="1" applyFill="1" applyBorder="1" applyAlignment="1">
      <alignment vertical="top"/>
    </xf>
    <xf numFmtId="0" fontId="136" fillId="0" borderId="0" xfId="0" applyFont="1" applyFill="1" applyBorder="1"/>
    <xf numFmtId="49" fontId="135" fillId="0" borderId="1" xfId="0" applyNumberFormat="1" applyFont="1" applyFill="1" applyBorder="1" applyAlignment="1">
      <alignment horizontal="center" vertical="top"/>
    </xf>
    <xf numFmtId="0" fontId="135" fillId="0" borderId="1" xfId="0" applyFont="1" applyBorder="1" applyAlignment="1">
      <alignment vertical="top" wrapText="1"/>
    </xf>
    <xf numFmtId="49" fontId="137" fillId="0" borderId="1" xfId="0" applyNumberFormat="1" applyFont="1" applyFill="1" applyBorder="1" applyAlignment="1">
      <alignment horizontal="center" vertical="top"/>
    </xf>
    <xf numFmtId="0" fontId="137" fillId="0" borderId="1" xfId="0" applyFont="1" applyFill="1" applyBorder="1" applyAlignment="1">
      <alignment horizontal="left" vertical="top" wrapText="1" shrinkToFit="1"/>
    </xf>
    <xf numFmtId="3" fontId="137" fillId="0" borderId="3" xfId="0" applyNumberFormat="1" applyFont="1" applyFill="1" applyBorder="1" applyAlignment="1">
      <alignment vertical="top"/>
    </xf>
    <xf numFmtId="3" fontId="137" fillId="0" borderId="1" xfId="0" applyNumberFormat="1" applyFont="1" applyFill="1" applyBorder="1" applyAlignment="1">
      <alignment vertical="top"/>
    </xf>
    <xf numFmtId="0" fontId="138" fillId="0" borderId="0" xfId="0" applyFont="1" applyFill="1" applyBorder="1"/>
    <xf numFmtId="0" fontId="135" fillId="0" borderId="1" xfId="0" applyFont="1" applyFill="1" applyBorder="1" applyAlignment="1">
      <alignment horizontal="left" vertical="top" wrapText="1" shrinkToFit="1"/>
    </xf>
    <xf numFmtId="49" fontId="130" fillId="5" borderId="1" xfId="0" applyNumberFormat="1" applyFont="1" applyFill="1" applyBorder="1" applyAlignment="1">
      <alignment horizontal="center" vertical="top" wrapText="1"/>
    </xf>
    <xf numFmtId="0" fontId="130" fillId="5" borderId="1" xfId="0" applyFont="1" applyFill="1" applyBorder="1" applyAlignment="1">
      <alignment horizontal="left" vertical="top" wrapText="1" shrinkToFit="1"/>
    </xf>
    <xf numFmtId="0" fontId="139" fillId="5" borderId="0" xfId="0" applyFont="1" applyFill="1" applyBorder="1"/>
    <xf numFmtId="3" fontId="135" fillId="0" borderId="1" xfId="0" applyNumberFormat="1" applyFont="1" applyFill="1" applyBorder="1" applyAlignment="1">
      <alignment horizontal="right" vertical="top"/>
    </xf>
    <xf numFmtId="0" fontId="136" fillId="0" borderId="0" xfId="0" applyFont="1" applyFill="1"/>
    <xf numFmtId="3" fontId="137" fillId="0" borderId="2" xfId="0" applyNumberFormat="1" applyFont="1" applyFill="1" applyBorder="1" applyAlignment="1">
      <alignment vertical="top"/>
    </xf>
    <xf numFmtId="0" fontId="135" fillId="0" borderId="1" xfId="0" applyFont="1" applyFill="1" applyBorder="1" applyAlignment="1">
      <alignment horizontal="center" vertical="top"/>
    </xf>
    <xf numFmtId="0" fontId="135" fillId="0" borderId="1" xfId="0" applyFont="1" applyFill="1" applyBorder="1" applyAlignment="1">
      <alignment wrapText="1"/>
    </xf>
    <xf numFmtId="3" fontId="135" fillId="0" borderId="2" xfId="0" applyNumberFormat="1" applyFont="1" applyFill="1" applyBorder="1" applyAlignment="1">
      <alignment vertical="top" wrapText="1"/>
    </xf>
    <xf numFmtId="3" fontId="135" fillId="0" borderId="1" xfId="0" applyNumberFormat="1" applyFont="1" applyFill="1" applyBorder="1" applyAlignment="1">
      <alignment vertical="top" wrapText="1"/>
    </xf>
    <xf numFmtId="49" fontId="130" fillId="5" borderId="1" xfId="0" applyNumberFormat="1" applyFont="1" applyFill="1" applyBorder="1" applyAlignment="1">
      <alignment horizontal="center" vertical="top"/>
    </xf>
    <xf numFmtId="3" fontId="99" fillId="5" borderId="1" xfId="0" applyNumberFormat="1" applyFont="1" applyFill="1" applyBorder="1" applyAlignment="1">
      <alignment vertical="top"/>
    </xf>
    <xf numFmtId="4" fontId="140" fillId="5" borderId="0" xfId="0" applyNumberFormat="1" applyFont="1" applyFill="1" applyBorder="1"/>
    <xf numFmtId="0" fontId="140" fillId="5" borderId="0" xfId="0" applyFont="1" applyFill="1" applyBorder="1"/>
    <xf numFmtId="3" fontId="97" fillId="0" borderId="1" xfId="0" applyNumberFormat="1" applyFont="1" applyFill="1" applyBorder="1" applyAlignment="1">
      <alignment vertical="top"/>
    </xf>
    <xf numFmtId="49" fontId="137" fillId="0" borderId="2" xfId="0" applyNumberFormat="1" applyFont="1" applyFill="1" applyBorder="1" applyAlignment="1">
      <alignment horizontal="center" vertical="top"/>
    </xf>
    <xf numFmtId="0" fontId="137" fillId="0" borderId="1" xfId="0" applyFont="1" applyBorder="1" applyAlignment="1">
      <alignment horizontal="justify" wrapText="1"/>
    </xf>
    <xf numFmtId="3" fontId="137" fillId="0" borderId="1" xfId="0" applyNumberFormat="1" applyFont="1" applyFill="1" applyBorder="1" applyAlignment="1">
      <alignment vertical="top" wrapText="1"/>
    </xf>
    <xf numFmtId="0" fontId="141" fillId="0" borderId="0" xfId="0" applyFont="1" applyFill="1" applyBorder="1"/>
    <xf numFmtId="0" fontId="142" fillId="5" borderId="0" xfId="0" applyFont="1" applyFill="1"/>
    <xf numFmtId="0" fontId="135" fillId="0" borderId="1" xfId="0" applyFont="1" applyFill="1" applyBorder="1" applyAlignment="1">
      <alignment vertical="top" wrapText="1"/>
    </xf>
    <xf numFmtId="3" fontId="130" fillId="0" borderId="1" xfId="0" applyNumberFormat="1" applyFont="1" applyFill="1" applyBorder="1" applyAlignment="1">
      <alignment vertical="top"/>
    </xf>
    <xf numFmtId="0" fontId="140" fillId="0" borderId="0" xfId="0" applyFont="1" applyFill="1" applyBorder="1"/>
    <xf numFmtId="0" fontId="137" fillId="0" borderId="1" xfId="0" applyFont="1" applyBorder="1" applyAlignment="1">
      <alignment vertical="top" wrapText="1"/>
    </xf>
    <xf numFmtId="0" fontId="142" fillId="5" borderId="0" xfId="0" applyFont="1" applyFill="1" applyBorder="1"/>
    <xf numFmtId="49" fontId="137" fillId="0" borderId="1" xfId="0" applyNumberFormat="1" applyFont="1" applyFill="1" applyBorder="1" applyAlignment="1">
      <alignment horizontal="center" vertical="top" wrapText="1"/>
    </xf>
    <xf numFmtId="0" fontId="137" fillId="0" borderId="1" xfId="0" applyFont="1" applyFill="1" applyBorder="1" applyAlignment="1">
      <alignment vertical="top" wrapText="1"/>
    </xf>
    <xf numFmtId="3" fontId="135" fillId="8" borderId="1" xfId="0" applyNumberFormat="1" applyFont="1" applyFill="1" applyBorder="1" applyAlignment="1">
      <alignment vertical="top"/>
    </xf>
    <xf numFmtId="3" fontId="97" fillId="8" borderId="1" xfId="0" applyNumberFormat="1" applyFont="1" applyFill="1" applyBorder="1" applyAlignment="1">
      <alignment vertical="top"/>
    </xf>
    <xf numFmtId="3" fontId="137" fillId="8" borderId="1" xfId="0" applyNumberFormat="1" applyFont="1" applyFill="1" applyBorder="1" applyAlignment="1">
      <alignment vertical="top"/>
    </xf>
    <xf numFmtId="0" fontId="137" fillId="0" borderId="1" xfId="0" applyFont="1" applyBorder="1" applyAlignment="1">
      <alignment wrapText="1"/>
    </xf>
    <xf numFmtId="0" fontId="135" fillId="0" borderId="1" xfId="0" applyFont="1" applyBorder="1" applyAlignment="1">
      <alignment wrapText="1"/>
    </xf>
    <xf numFmtId="0" fontId="135" fillId="0" borderId="0" xfId="0" applyFont="1" applyAlignment="1">
      <alignment wrapText="1"/>
    </xf>
    <xf numFmtId="0" fontId="143" fillId="0" borderId="0" xfId="0" applyFont="1" applyFill="1"/>
    <xf numFmtId="0" fontId="137" fillId="0" borderId="1" xfId="0" applyFont="1" applyFill="1" applyBorder="1" applyAlignment="1">
      <alignment horizontal="center" vertical="top"/>
    </xf>
    <xf numFmtId="3" fontId="137" fillId="8" borderId="1" xfId="0" applyNumberFormat="1" applyFont="1" applyFill="1" applyBorder="1" applyAlignment="1">
      <alignment horizontal="right" vertical="top"/>
    </xf>
    <xf numFmtId="3" fontId="137" fillId="0" borderId="1" xfId="0" applyNumberFormat="1" applyFont="1" applyFill="1" applyBorder="1" applyAlignment="1">
      <alignment horizontal="right" vertical="top"/>
    </xf>
    <xf numFmtId="3" fontId="137" fillId="0" borderId="2" xfId="0" applyNumberFormat="1" applyFont="1" applyFill="1" applyBorder="1" applyAlignment="1">
      <alignment horizontal="right" vertical="top" wrapText="1"/>
    </xf>
    <xf numFmtId="3" fontId="137" fillId="0" borderId="1" xfId="0" applyNumberFormat="1" applyFont="1" applyFill="1" applyBorder="1" applyAlignment="1">
      <alignment horizontal="right" vertical="top" wrapText="1"/>
    </xf>
    <xf numFmtId="0" fontId="141" fillId="0" borderId="0" xfId="0" applyFont="1" applyFill="1"/>
    <xf numFmtId="3" fontId="137" fillId="8" borderId="2" xfId="0" applyNumberFormat="1" applyFont="1" applyFill="1" applyBorder="1" applyAlignment="1">
      <alignment horizontal="right" vertical="top" wrapText="1"/>
    </xf>
    <xf numFmtId="3" fontId="137" fillId="8" borderId="1" xfId="0" applyNumberFormat="1" applyFont="1" applyFill="1" applyBorder="1" applyAlignment="1">
      <alignment horizontal="right" vertical="top" wrapText="1"/>
    </xf>
    <xf numFmtId="0" fontId="140" fillId="5" borderId="0" xfId="0" applyFont="1" applyFill="1"/>
    <xf numFmtId="0" fontId="144" fillId="0" borderId="0" xfId="0" applyFont="1" applyFill="1" applyBorder="1"/>
    <xf numFmtId="3" fontId="137" fillId="0" borderId="2" xfId="0" applyNumberFormat="1" applyFont="1" applyFill="1" applyBorder="1" applyAlignment="1">
      <alignment vertical="top" wrapText="1"/>
    </xf>
    <xf numFmtId="0" fontId="145" fillId="0" borderId="0" xfId="0" applyFont="1" applyFill="1" applyBorder="1"/>
    <xf numFmtId="0" fontId="98" fillId="5" borderId="0" xfId="0" applyFont="1" applyFill="1" applyBorder="1"/>
    <xf numFmtId="49" fontId="135" fillId="5" borderId="1" xfId="0" applyNumberFormat="1" applyFont="1" applyFill="1" applyBorder="1" applyAlignment="1">
      <alignment horizontal="center" vertical="top"/>
    </xf>
    <xf numFmtId="0" fontId="98" fillId="5" borderId="0" xfId="0" applyFont="1" applyFill="1"/>
    <xf numFmtId="3" fontId="135" fillId="0" borderId="2" xfId="0" applyNumberFormat="1" applyFont="1" applyFill="1" applyBorder="1" applyAlignment="1">
      <alignment horizontal="right" vertical="top" wrapText="1"/>
    </xf>
    <xf numFmtId="3" fontId="135" fillId="0" borderId="1" xfId="0" applyNumberFormat="1" applyFont="1" applyFill="1" applyBorder="1" applyAlignment="1">
      <alignment horizontal="right" vertical="top" wrapText="1"/>
    </xf>
    <xf numFmtId="3" fontId="135" fillId="0" borderId="2" xfId="0" applyNumberFormat="1" applyFont="1" applyFill="1" applyBorder="1" applyAlignment="1">
      <alignment vertical="top"/>
    </xf>
    <xf numFmtId="0" fontId="135" fillId="0" borderId="1" xfId="0" applyFont="1" applyBorder="1" applyAlignment="1">
      <alignment horizontal="justify" vertical="top" wrapText="1"/>
    </xf>
    <xf numFmtId="49" fontId="135" fillId="0" borderId="1" xfId="0" applyNumberFormat="1" applyFont="1" applyBorder="1" applyAlignment="1">
      <alignment horizontal="center" vertical="top"/>
    </xf>
    <xf numFmtId="0" fontId="135" fillId="0" borderId="1" xfId="0" applyNumberFormat="1" applyFont="1" applyBorder="1" applyAlignment="1">
      <alignment vertical="top" wrapText="1"/>
    </xf>
    <xf numFmtId="49" fontId="130" fillId="5" borderId="1" xfId="0" applyNumberFormat="1" applyFont="1" applyFill="1" applyBorder="1" applyAlignment="1">
      <alignment horizontal="left" vertical="top"/>
    </xf>
    <xf numFmtId="49" fontId="130" fillId="0" borderId="0" xfId="0" applyNumberFormat="1" applyFont="1" applyFill="1" applyBorder="1" applyAlignment="1">
      <alignment horizontal="center" vertical="top"/>
    </xf>
    <xf numFmtId="0" fontId="130" fillId="0" borderId="0" xfId="0" applyFont="1" applyFill="1" applyBorder="1" applyAlignment="1">
      <alignment horizontal="left" vertical="top"/>
    </xf>
    <xf numFmtId="4" fontId="130" fillId="0" borderId="0" xfId="0" applyNumberFormat="1" applyFont="1" applyFill="1" applyBorder="1" applyAlignment="1">
      <alignment horizontal="right" vertical="top"/>
    </xf>
    <xf numFmtId="3" fontId="130" fillId="0" borderId="0" xfId="0" applyNumberFormat="1" applyFont="1" applyFill="1" applyBorder="1" applyAlignment="1">
      <alignment horizontal="right" vertical="top"/>
    </xf>
    <xf numFmtId="4" fontId="140" fillId="0" borderId="0" xfId="0" applyNumberFormat="1" applyFont="1" applyFill="1" applyBorder="1"/>
    <xf numFmtId="0" fontId="101" fillId="0" borderId="0" xfId="5" applyFont="1" applyBorder="1"/>
    <xf numFmtId="0" fontId="146" fillId="0" borderId="0" xfId="5" applyFont="1"/>
    <xf numFmtId="0" fontId="100" fillId="0" borderId="0" xfId="5" applyFont="1" applyBorder="1"/>
    <xf numFmtId="3" fontId="146" fillId="0" borderId="0" xfId="0" applyNumberFormat="1" applyFont="1" applyBorder="1"/>
    <xf numFmtId="0" fontId="101" fillId="0" borderId="0" xfId="0" applyFont="1" applyBorder="1" applyAlignment="1">
      <alignment horizontal="left"/>
    </xf>
    <xf numFmtId="0" fontId="101" fillId="0" borderId="0" xfId="0" applyFont="1" applyBorder="1"/>
    <xf numFmtId="0" fontId="147" fillId="0" borderId="0" xfId="0" applyFont="1" applyFill="1" applyAlignment="1">
      <alignment horizontal="left"/>
    </xf>
    <xf numFmtId="49" fontId="142" fillId="6" borderId="0" xfId="0" applyNumberFormat="1" applyFont="1" applyFill="1"/>
    <xf numFmtId="0" fontId="142" fillId="6" borderId="0" xfId="0" applyFont="1" applyFill="1"/>
    <xf numFmtId="4" fontId="142" fillId="6" borderId="0" xfId="0" applyNumberFormat="1" applyFont="1" applyFill="1"/>
    <xf numFmtId="0" fontId="142" fillId="6" borderId="0" xfId="0" applyFont="1" applyFill="1" applyBorder="1"/>
    <xf numFmtId="49" fontId="98" fillId="0" borderId="0" xfId="0" applyNumberFormat="1" applyFont="1" applyFill="1"/>
    <xf numFmtId="0" fontId="98" fillId="3" borderId="0" xfId="0" applyFont="1" applyFill="1"/>
    <xf numFmtId="0" fontId="14" fillId="0" borderId="4" xfId="0" applyFont="1" applyBorder="1" applyAlignment="1">
      <alignment horizontal="left" vertical="top" wrapText="1"/>
    </xf>
    <xf numFmtId="3" fontId="21" fillId="5" borderId="1" xfId="0" applyNumberFormat="1" applyFont="1" applyFill="1" applyBorder="1" applyAlignment="1">
      <alignment horizontal="right" vertical="center"/>
    </xf>
    <xf numFmtId="3" fontId="14" fillId="0" borderId="1" xfId="0" applyNumberFormat="1" applyFont="1" applyFill="1" applyBorder="1" applyAlignment="1">
      <alignment horizontal="right" vertical="center"/>
    </xf>
    <xf numFmtId="3" fontId="22" fillId="0" borderId="1" xfId="0" applyNumberFormat="1" applyFont="1" applyFill="1" applyBorder="1" applyAlignment="1">
      <alignment horizontal="right" vertical="center"/>
    </xf>
    <xf numFmtId="3" fontId="14" fillId="0" borderId="1" xfId="0" applyNumberFormat="1" applyFont="1" applyFill="1" applyBorder="1" applyAlignment="1">
      <alignment horizontal="right" vertical="center" wrapText="1"/>
    </xf>
    <xf numFmtId="3" fontId="33" fillId="5" borderId="1" xfId="0" applyNumberFormat="1" applyFont="1" applyFill="1" applyBorder="1" applyAlignment="1">
      <alignment horizontal="right" vertical="center"/>
    </xf>
    <xf numFmtId="3" fontId="31" fillId="0" borderId="1" xfId="0" applyNumberFormat="1" applyFont="1" applyFill="1" applyBorder="1" applyAlignment="1">
      <alignment horizontal="right" vertical="center"/>
    </xf>
    <xf numFmtId="3" fontId="14" fillId="8" borderId="1" xfId="0" applyNumberFormat="1" applyFont="1" applyFill="1" applyBorder="1" applyAlignment="1">
      <alignment horizontal="right" vertical="center" wrapText="1" shrinkToFit="1"/>
    </xf>
    <xf numFmtId="3" fontId="22" fillId="0" borderId="1" xfId="0" applyNumberFormat="1" applyFont="1" applyFill="1" applyBorder="1" applyAlignment="1">
      <alignment horizontal="right" vertical="center" wrapText="1"/>
    </xf>
    <xf numFmtId="3" fontId="22" fillId="8" borderId="1" xfId="0" applyNumberFormat="1" applyFont="1" applyFill="1" applyBorder="1" applyAlignment="1">
      <alignment horizontal="right" vertical="center" wrapText="1" shrinkToFit="1"/>
    </xf>
    <xf numFmtId="3" fontId="21" fillId="0" borderId="1" xfId="0" applyNumberFormat="1" applyFont="1" applyFill="1" applyBorder="1" applyAlignment="1">
      <alignment horizontal="right" vertical="center"/>
    </xf>
    <xf numFmtId="3" fontId="14" fillId="0" borderId="4" xfId="0" applyNumberFormat="1" applyFont="1" applyFill="1" applyBorder="1" applyAlignment="1">
      <alignment horizontal="right" vertical="center" wrapText="1"/>
    </xf>
    <xf numFmtId="3" fontId="0" fillId="0" borderId="0" xfId="0" applyNumberFormat="1" applyFill="1" applyAlignment="1">
      <alignment horizontal="right"/>
    </xf>
    <xf numFmtId="3" fontId="8" fillId="8" borderId="1" xfId="10" applyNumberFormat="1" applyFont="1" applyFill="1" applyBorder="1" applyAlignment="1">
      <alignment horizontal="left" vertical="center" wrapText="1"/>
    </xf>
    <xf numFmtId="3" fontId="8" fillId="8" borderId="1" xfId="10" applyNumberFormat="1" applyFont="1" applyFill="1" applyBorder="1" applyAlignment="1">
      <alignment horizontal="right" vertical="center"/>
    </xf>
    <xf numFmtId="0" fontId="22" fillId="0" borderId="4" xfId="0" applyFont="1" applyFill="1" applyBorder="1" applyAlignment="1">
      <alignment horizontal="center" vertical="top" wrapText="1" shrinkToFit="1"/>
    </xf>
    <xf numFmtId="0" fontId="22" fillId="0" borderId="4" xfId="0" applyFont="1" applyFill="1" applyBorder="1" applyAlignment="1">
      <alignment horizontal="left" vertical="top" wrapText="1" shrinkToFit="1"/>
    </xf>
    <xf numFmtId="0" fontId="22" fillId="0" borderId="7" xfId="0" applyFont="1" applyFill="1" applyBorder="1" applyAlignment="1">
      <alignment horizontal="left" vertical="top" wrapText="1" shrinkToFit="1"/>
    </xf>
    <xf numFmtId="0" fontId="135" fillId="2" borderId="4" xfId="0" applyFont="1" applyFill="1" applyBorder="1" applyAlignment="1">
      <alignment vertical="top" wrapText="1" shrinkToFit="1"/>
    </xf>
    <xf numFmtId="4" fontId="130" fillId="5" borderId="0" xfId="0" applyNumberFormat="1" applyFont="1" applyFill="1" applyBorder="1" applyAlignment="1">
      <alignment vertical="top"/>
    </xf>
    <xf numFmtId="0" fontId="98" fillId="0" borderId="0" xfId="0" applyFont="1"/>
    <xf numFmtId="0" fontId="135" fillId="2" borderId="7" xfId="0" applyFont="1" applyFill="1" applyBorder="1" applyAlignment="1">
      <alignment vertical="top" wrapText="1" shrinkToFit="1"/>
    </xf>
    <xf numFmtId="0" fontId="137" fillId="0" borderId="7" xfId="0" applyFont="1" applyFill="1" applyBorder="1" applyAlignment="1">
      <alignment vertical="top" wrapText="1"/>
    </xf>
    <xf numFmtId="0" fontId="137" fillId="0" borderId="7" xfId="0" applyFont="1" applyFill="1" applyBorder="1" applyAlignment="1">
      <alignment horizontal="center" vertical="top" wrapText="1"/>
    </xf>
    <xf numFmtId="49" fontId="21" fillId="5" borderId="6" xfId="0" applyNumberFormat="1" applyFont="1" applyFill="1" applyBorder="1" applyAlignment="1">
      <alignment horizontal="center" vertical="top"/>
    </xf>
    <xf numFmtId="0" fontId="22" fillId="0" borderId="7" xfId="0" applyFont="1" applyFill="1" applyBorder="1" applyAlignment="1">
      <alignment vertical="top" wrapText="1" shrinkToFit="1"/>
    </xf>
    <xf numFmtId="0" fontId="22" fillId="0" borderId="6" xfId="0" applyFont="1" applyFill="1" applyBorder="1" applyAlignment="1">
      <alignment horizontal="center" vertical="top" wrapText="1"/>
    </xf>
    <xf numFmtId="0" fontId="22" fillId="0" borderId="7" xfId="0" applyFont="1" applyFill="1" applyBorder="1" applyAlignment="1">
      <alignment horizontal="center" vertical="top" wrapText="1" shrinkToFit="1"/>
    </xf>
    <xf numFmtId="0" fontId="22" fillId="0" borderId="6" xfId="0" applyFont="1" applyFill="1" applyBorder="1" applyAlignment="1">
      <alignment horizontal="left" vertical="top" wrapText="1"/>
    </xf>
    <xf numFmtId="0" fontId="56" fillId="0" borderId="0" xfId="0" applyFont="1" applyFill="1"/>
    <xf numFmtId="0" fontId="56" fillId="0" borderId="0" xfId="5" applyFont="1" applyBorder="1" applyAlignment="1">
      <alignment horizontal="right"/>
    </xf>
    <xf numFmtId="3" fontId="8" fillId="0" borderId="4" xfId="10" applyNumberFormat="1" applyFont="1" applyFill="1" applyBorder="1" applyAlignment="1">
      <alignment horizontal="right" vertical="center"/>
    </xf>
    <xf numFmtId="0" fontId="8" fillId="12" borderId="1" xfId="0" applyFont="1" applyFill="1" applyBorder="1" applyAlignment="1">
      <alignment vertical="center"/>
    </xf>
    <xf numFmtId="0" fontId="31" fillId="2" borderId="1" xfId="1" applyFont="1" applyFill="1" applyBorder="1" applyAlignment="1">
      <alignment horizontal="center" vertical="center" wrapText="1"/>
    </xf>
    <xf numFmtId="0" fontId="31" fillId="2" borderId="1" xfId="1" applyFont="1" applyFill="1" applyBorder="1" applyAlignment="1">
      <alignment horizontal="left" vertical="center" wrapText="1"/>
    </xf>
    <xf numFmtId="0" fontId="31" fillId="2" borderId="1" xfId="7" applyFont="1" applyFill="1" applyBorder="1" applyAlignment="1">
      <alignment horizontal="left" vertical="center" wrapText="1"/>
    </xf>
    <xf numFmtId="0" fontId="31" fillId="0" borderId="1" xfId="1" applyFont="1" applyFill="1" applyBorder="1" applyAlignment="1">
      <alignment horizontal="left" vertical="center" wrapText="1"/>
    </xf>
    <xf numFmtId="0" fontId="12" fillId="0" borderId="1" xfId="0" applyFont="1" applyFill="1" applyBorder="1" applyAlignment="1">
      <alignment horizontal="left"/>
    </xf>
    <xf numFmtId="3" fontId="8" fillId="8" borderId="1" xfId="15" applyNumberFormat="1" applyFont="1" applyFill="1" applyBorder="1" applyAlignment="1">
      <alignment horizontal="right" vertical="center"/>
    </xf>
    <xf numFmtId="3" fontId="148" fillId="8" borderId="1" xfId="0" applyNumberFormat="1" applyFont="1" applyFill="1" applyBorder="1" applyAlignment="1">
      <alignment horizontal="right" vertical="center" wrapText="1"/>
    </xf>
    <xf numFmtId="3" fontId="148" fillId="8" borderId="6" xfId="0" applyNumberFormat="1" applyFont="1" applyFill="1" applyBorder="1" applyAlignment="1">
      <alignment horizontal="right" vertical="center" wrapText="1"/>
    </xf>
    <xf numFmtId="0" fontId="8" fillId="0" borderId="1" xfId="0" applyFont="1" applyFill="1" applyBorder="1"/>
    <xf numFmtId="0" fontId="0" fillId="8" borderId="0" xfId="0" applyFont="1" applyFill="1"/>
    <xf numFmtId="0" fontId="14" fillId="0" borderId="2" xfId="0" applyFont="1" applyFill="1" applyBorder="1" applyAlignment="1">
      <alignment horizontal="left" vertical="top" wrapText="1" shrinkToFit="1"/>
    </xf>
    <xf numFmtId="49" fontId="14" fillId="0" borderId="2" xfId="0" applyNumberFormat="1" applyFont="1" applyFill="1" applyBorder="1" applyAlignment="1">
      <alignment horizontal="center" vertical="top"/>
    </xf>
    <xf numFmtId="3" fontId="14" fillId="8" borderId="1" xfId="0" applyNumberFormat="1" applyFont="1" applyFill="1" applyBorder="1" applyAlignment="1">
      <alignment horizontal="right" vertical="center"/>
    </xf>
    <xf numFmtId="49" fontId="14" fillId="0" borderId="1" xfId="0" applyNumberFormat="1" applyFont="1" applyFill="1" applyBorder="1" applyAlignment="1">
      <alignment horizontal="center" vertical="top" wrapText="1"/>
    </xf>
    <xf numFmtId="49" fontId="14" fillId="8" borderId="1" xfId="0" applyNumberFormat="1" applyFont="1" applyFill="1" applyBorder="1" applyAlignment="1">
      <alignment horizontal="center" vertical="top"/>
    </xf>
    <xf numFmtId="0" fontId="14" fillId="8" borderId="1" xfId="0" applyFont="1" applyFill="1" applyBorder="1" applyAlignment="1">
      <alignment horizontal="left" vertical="top" wrapText="1" shrinkToFit="1"/>
    </xf>
    <xf numFmtId="0" fontId="14" fillId="0" borderId="1" xfId="0" applyFont="1" applyBorder="1" applyAlignment="1">
      <alignment wrapText="1"/>
    </xf>
    <xf numFmtId="3" fontId="14" fillId="0" borderId="1" xfId="0" applyNumberFormat="1" applyFont="1" applyBorder="1" applyAlignment="1">
      <alignment horizontal="right" vertical="center" wrapText="1"/>
    </xf>
    <xf numFmtId="0" fontId="0" fillId="0" borderId="0" xfId="0" applyFont="1" applyFill="1" applyAlignment="1">
      <alignment horizontal="right"/>
    </xf>
    <xf numFmtId="3" fontId="98" fillId="0" borderId="0" xfId="0" applyNumberFormat="1" applyFont="1"/>
    <xf numFmtId="11" fontId="98" fillId="0" borderId="0" xfId="0" applyNumberFormat="1" applyFont="1" applyFill="1"/>
    <xf numFmtId="2" fontId="98" fillId="0" borderId="0" xfId="0" applyNumberFormat="1" applyFont="1" applyFill="1"/>
    <xf numFmtId="0" fontId="14" fillId="0" borderId="0" xfId="0" applyFont="1" applyAlignment="1">
      <alignment horizontal="left" vertical="center" wrapText="1"/>
    </xf>
    <xf numFmtId="0" fontId="8" fillId="0" borderId="4" xfId="0" applyFont="1" applyBorder="1" applyAlignment="1">
      <alignment horizontal="center" vertical="center" wrapText="1"/>
    </xf>
    <xf numFmtId="3" fontId="86" fillId="0" borderId="1" xfId="0" applyNumberFormat="1" applyFont="1" applyFill="1" applyBorder="1" applyAlignment="1">
      <alignment horizontal="left" vertical="center" wrapText="1"/>
    </xf>
    <xf numFmtId="0" fontId="149" fillId="0" borderId="0" xfId="0" applyFont="1" applyAlignment="1">
      <alignment horizontal="centerContinuous" wrapText="1"/>
    </xf>
    <xf numFmtId="0" fontId="149" fillId="8" borderId="0" xfId="0" applyFont="1" applyFill="1" applyAlignment="1">
      <alignment horizontal="centerContinuous"/>
    </xf>
    <xf numFmtId="0" fontId="86" fillId="8" borderId="0" xfId="0" applyFont="1" applyFill="1" applyAlignment="1"/>
    <xf numFmtId="0" fontId="86" fillId="0" borderId="0" xfId="0" applyFont="1" applyFill="1"/>
    <xf numFmtId="0" fontId="149" fillId="0" borderId="0" xfId="0" applyFont="1" applyAlignment="1">
      <alignment horizontal="left" wrapText="1"/>
    </xf>
    <xf numFmtId="0" fontId="149" fillId="8" borderId="0" xfId="0" applyFont="1" applyFill="1" applyAlignment="1">
      <alignment horizontal="left"/>
    </xf>
    <xf numFmtId="0" fontId="150" fillId="0" borderId="0" xfId="0" applyFont="1" applyBorder="1" applyAlignment="1">
      <alignment horizontal="center" wrapText="1"/>
    </xf>
    <xf numFmtId="0" fontId="150" fillId="8" borderId="0" xfId="0" applyFont="1" applyFill="1" applyBorder="1" applyAlignment="1">
      <alignment horizontal="center"/>
    </xf>
    <xf numFmtId="0" fontId="149" fillId="0" borderId="0" xfId="5" applyFont="1" applyAlignment="1">
      <alignment horizontal="right"/>
    </xf>
    <xf numFmtId="0" fontId="86" fillId="0" borderId="1" xfId="0" applyFont="1" applyBorder="1" applyAlignment="1">
      <alignment horizontal="center" vertical="top" wrapText="1"/>
    </xf>
    <xf numFmtId="0" fontId="86" fillId="8" borderId="1" xfId="0" applyFont="1" applyFill="1" applyBorder="1" applyAlignment="1">
      <alignment horizontal="center" vertical="top" wrapText="1"/>
    </xf>
    <xf numFmtId="0" fontId="86" fillId="0" borderId="1" xfId="0" applyFont="1" applyFill="1" applyBorder="1" applyAlignment="1">
      <alignment horizontal="center" vertical="top" wrapText="1"/>
    </xf>
    <xf numFmtId="0" fontId="86" fillId="0" borderId="1" xfId="0" applyFont="1" applyBorder="1" applyAlignment="1">
      <alignment horizontal="center" vertical="center" wrapText="1"/>
    </xf>
    <xf numFmtId="0" fontId="86" fillId="8" borderId="1" xfId="0" applyFont="1" applyFill="1" applyBorder="1" applyAlignment="1">
      <alignment horizontal="center" vertical="center" wrapText="1"/>
    </xf>
    <xf numFmtId="0" fontId="151" fillId="0" borderId="0" xfId="0" applyFont="1"/>
    <xf numFmtId="0" fontId="152" fillId="0" borderId="0" xfId="0" applyFont="1"/>
    <xf numFmtId="0" fontId="86" fillId="0" borderId="0" xfId="0" applyFont="1"/>
    <xf numFmtId="3" fontId="148" fillId="8" borderId="0" xfId="0" applyNumberFormat="1" applyFont="1" applyFill="1" applyBorder="1" applyAlignment="1">
      <alignment horizontal="right" vertical="center" wrapText="1"/>
    </xf>
    <xf numFmtId="4" fontId="89" fillId="0" borderId="0" xfId="5" applyNumberFormat="1" applyFont="1"/>
    <xf numFmtId="3" fontId="8" fillId="0" borderId="1" xfId="0" applyNumberFormat="1" applyFont="1" applyFill="1" applyBorder="1" applyAlignment="1">
      <alignment horizontal="left" vertical="center" wrapText="1"/>
    </xf>
    <xf numFmtId="0" fontId="153" fillId="0" borderId="1" xfId="0" applyFont="1" applyFill="1" applyBorder="1" applyAlignment="1">
      <alignment horizontal="left" vertical="center" wrapText="1"/>
    </xf>
    <xf numFmtId="3" fontId="153" fillId="0" borderId="1" xfId="10" applyNumberFormat="1" applyFont="1" applyFill="1" applyBorder="1" applyAlignment="1">
      <alignment horizontal="right" vertical="center"/>
    </xf>
    <xf numFmtId="3" fontId="154" fillId="0" borderId="1" xfId="0" applyNumberFormat="1" applyFont="1" applyBorder="1" applyAlignment="1">
      <alignment horizontal="center" wrapText="1"/>
    </xf>
    <xf numFmtId="3" fontId="153" fillId="3" borderId="0" xfId="0" applyNumberFormat="1" applyFont="1" applyFill="1"/>
    <xf numFmtId="0" fontId="153" fillId="0" borderId="0" xfId="0" applyFont="1"/>
    <xf numFmtId="3" fontId="153" fillId="0" borderId="1" xfId="0" applyNumberFormat="1" applyFont="1" applyFill="1" applyBorder="1" applyAlignment="1">
      <alignment horizontal="left" vertical="center" wrapText="1"/>
    </xf>
    <xf numFmtId="3" fontId="153" fillId="0" borderId="1" xfId="0" applyNumberFormat="1" applyFont="1" applyFill="1" applyBorder="1" applyAlignment="1">
      <alignment horizontal="right" vertical="center"/>
    </xf>
    <xf numFmtId="3" fontId="153" fillId="0" borderId="1" xfId="10" applyNumberFormat="1" applyFont="1" applyFill="1" applyBorder="1" applyAlignment="1">
      <alignment horizontal="right" vertical="center" wrapText="1"/>
    </xf>
    <xf numFmtId="3" fontId="153" fillId="9" borderId="0" xfId="0" applyNumberFormat="1" applyFont="1" applyFill="1"/>
    <xf numFmtId="0" fontId="153" fillId="3" borderId="0" xfId="0" applyFont="1" applyFill="1"/>
    <xf numFmtId="3" fontId="153" fillId="8" borderId="1" xfId="10" applyNumberFormat="1" applyFont="1" applyFill="1" applyBorder="1" applyAlignment="1">
      <alignment horizontal="right" vertical="center" wrapText="1"/>
    </xf>
    <xf numFmtId="3" fontId="14" fillId="0" borderId="1" xfId="0" applyNumberFormat="1" applyFont="1" applyBorder="1" applyAlignment="1">
      <alignment horizontal="left" wrapText="1"/>
    </xf>
    <xf numFmtId="0" fontId="153" fillId="8" borderId="1" xfId="0" applyFont="1" applyFill="1" applyBorder="1" applyAlignment="1">
      <alignment horizontal="left" vertical="center" wrapText="1"/>
    </xf>
    <xf numFmtId="3" fontId="153" fillId="8" borderId="1" xfId="10" applyNumberFormat="1" applyFont="1" applyFill="1" applyBorder="1" applyAlignment="1">
      <alignment horizontal="right" vertical="center"/>
    </xf>
    <xf numFmtId="3" fontId="154" fillId="0" borderId="0" xfId="0" applyNumberFormat="1" applyFont="1" applyBorder="1" applyAlignment="1">
      <alignment wrapText="1"/>
    </xf>
    <xf numFmtId="3" fontId="153" fillId="0" borderId="0" xfId="0" applyNumberFormat="1" applyFont="1"/>
    <xf numFmtId="3" fontId="154" fillId="0" borderId="0" xfId="0" applyNumberFormat="1" applyFont="1" applyFill="1" applyBorder="1" applyAlignment="1">
      <alignment wrapText="1"/>
    </xf>
    <xf numFmtId="3" fontId="153" fillId="8" borderId="1" xfId="10" applyNumberFormat="1" applyFont="1" applyFill="1" applyBorder="1" applyAlignment="1">
      <alignment horizontal="left" vertical="center" wrapText="1"/>
    </xf>
    <xf numFmtId="3" fontId="153" fillId="8" borderId="1" xfId="0" applyNumberFormat="1" applyFont="1" applyFill="1" applyBorder="1" applyAlignment="1">
      <alignment horizontal="right" vertical="center"/>
    </xf>
    <xf numFmtId="3" fontId="12" fillId="8" borderId="1" xfId="0" applyNumberFormat="1" applyFont="1" applyFill="1" applyBorder="1" applyAlignment="1">
      <alignment horizontal="center"/>
    </xf>
    <xf numFmtId="3" fontId="8" fillId="8" borderId="1" xfId="0" applyNumberFormat="1" applyFont="1" applyFill="1" applyBorder="1" applyAlignment="1">
      <alignment horizontal="center"/>
    </xf>
    <xf numFmtId="0" fontId="12" fillId="8" borderId="0" xfId="0" applyFont="1" applyFill="1" applyBorder="1" applyAlignment="1">
      <alignment horizontal="left" wrapText="1"/>
    </xf>
    <xf numFmtId="3" fontId="134" fillId="0" borderId="0" xfId="0" applyNumberFormat="1" applyFont="1" applyFill="1" applyBorder="1"/>
    <xf numFmtId="0" fontId="8" fillId="0" borderId="4" xfId="0" applyFont="1" applyFill="1" applyBorder="1" applyAlignment="1">
      <alignment vertical="top" wrapText="1"/>
    </xf>
    <xf numFmtId="4" fontId="99" fillId="5" borderId="1" xfId="0" applyNumberFormat="1" applyFont="1" applyFill="1" applyBorder="1" applyAlignment="1">
      <alignment vertical="top"/>
    </xf>
    <xf numFmtId="3" fontId="153" fillId="8" borderId="1" xfId="0" applyNumberFormat="1" applyFont="1" applyFill="1" applyBorder="1" applyAlignment="1">
      <alignment horizontal="right" vertical="center" wrapText="1"/>
    </xf>
    <xf numFmtId="3" fontId="12" fillId="0" borderId="0" xfId="0" applyNumberFormat="1" applyFont="1" applyBorder="1" applyAlignment="1">
      <alignment horizontal="left" wrapText="1"/>
    </xf>
    <xf numFmtId="4" fontId="97" fillId="0" borderId="1" xfId="0" applyNumberFormat="1" applyFont="1" applyFill="1" applyBorder="1" applyAlignment="1">
      <alignment vertical="top"/>
    </xf>
    <xf numFmtId="4" fontId="137" fillId="0" borderId="3" xfId="0" applyNumberFormat="1" applyFont="1" applyFill="1" applyBorder="1" applyAlignment="1">
      <alignment vertical="top"/>
    </xf>
    <xf numFmtId="4" fontId="137" fillId="0" borderId="1" xfId="0" applyNumberFormat="1" applyFont="1" applyFill="1" applyBorder="1" applyAlignment="1">
      <alignment vertical="top"/>
    </xf>
    <xf numFmtId="4" fontId="137" fillId="0" borderId="1" xfId="0" applyNumberFormat="1" applyFont="1" applyFill="1" applyBorder="1" applyAlignment="1">
      <alignment vertical="top" wrapText="1"/>
    </xf>
    <xf numFmtId="4" fontId="22" fillId="0" borderId="3" xfId="0" applyNumberFormat="1" applyFont="1" applyFill="1" applyBorder="1" applyAlignment="1">
      <alignment vertical="top"/>
    </xf>
    <xf numFmtId="4" fontId="22" fillId="0" borderId="1" xfId="0" applyNumberFormat="1" applyFont="1" applyFill="1" applyBorder="1" applyAlignment="1">
      <alignment vertical="top"/>
    </xf>
    <xf numFmtId="4" fontId="22" fillId="0" borderId="1" xfId="0" applyNumberFormat="1" applyFont="1" applyFill="1" applyBorder="1" applyAlignment="1">
      <alignment vertical="top" wrapText="1"/>
    </xf>
    <xf numFmtId="4" fontId="14" fillId="0" borderId="1" xfId="0" applyNumberFormat="1" applyFont="1" applyFill="1" applyBorder="1" applyAlignment="1">
      <alignment vertical="top" wrapText="1"/>
    </xf>
    <xf numFmtId="4" fontId="130" fillId="5" borderId="1" xfId="0" applyNumberFormat="1" applyFont="1" applyFill="1" applyBorder="1" applyAlignment="1">
      <alignment vertical="top"/>
    </xf>
    <xf numFmtId="0" fontId="8" fillId="0" borderId="1" xfId="0" applyFont="1" applyBorder="1" applyAlignment="1">
      <alignment vertical="top" wrapText="1"/>
    </xf>
    <xf numFmtId="0" fontId="8" fillId="0" borderId="3" xfId="0" applyFont="1" applyBorder="1" applyAlignment="1">
      <alignment horizontal="center" vertical="top" wrapText="1"/>
    </xf>
    <xf numFmtId="0" fontId="57" fillId="0" borderId="2" xfId="0" applyFont="1" applyFill="1" applyBorder="1" applyAlignment="1">
      <alignment horizontal="left" vertical="center" wrapText="1"/>
    </xf>
    <xf numFmtId="181" fontId="8" fillId="0" borderId="2" xfId="0" applyNumberFormat="1" applyFont="1" applyFill="1" applyBorder="1" applyAlignment="1">
      <alignment horizontal="right" vertical="center"/>
    </xf>
    <xf numFmtId="0" fontId="8" fillId="0" borderId="2" xfId="0" applyFont="1" applyFill="1" applyBorder="1" applyAlignment="1">
      <alignment horizontal="left" vertical="center" wrapText="1"/>
    </xf>
    <xf numFmtId="0" fontId="101" fillId="0" borderId="2" xfId="0" applyFont="1" applyFill="1" applyBorder="1" applyAlignment="1">
      <alignment horizontal="left" vertical="center" wrapText="1"/>
    </xf>
    <xf numFmtId="181" fontId="101" fillId="0" borderId="2" xfId="0" applyNumberFormat="1" applyFont="1" applyFill="1" applyBorder="1" applyAlignment="1">
      <alignment horizontal="right" vertical="center"/>
    </xf>
    <xf numFmtId="181" fontId="101" fillId="0" borderId="1" xfId="0" applyNumberFormat="1" applyFont="1" applyFill="1" applyBorder="1" applyAlignment="1">
      <alignment horizontal="right" vertical="center"/>
    </xf>
    <xf numFmtId="0" fontId="8" fillId="0" borderId="1" xfId="0" applyFont="1" applyBorder="1" applyAlignment="1">
      <alignment horizontal="center"/>
    </xf>
    <xf numFmtId="0" fontId="8" fillId="0" borderId="2" xfId="11" applyFont="1" applyFill="1" applyBorder="1" applyAlignment="1">
      <alignment horizontal="left" vertical="center" wrapText="1"/>
    </xf>
    <xf numFmtId="0" fontId="40" fillId="0" borderId="2" xfId="0" applyFont="1" applyFill="1" applyBorder="1" applyAlignment="1">
      <alignment horizontal="left" vertical="center" wrapText="1"/>
    </xf>
    <xf numFmtId="0" fontId="8" fillId="0" borderId="2" xfId="8" applyFont="1" applyFill="1" applyBorder="1" applyAlignment="1">
      <alignment horizontal="justify" vertical="center" wrapText="1"/>
    </xf>
    <xf numFmtId="0" fontId="58" fillId="0" borderId="2" xfId="0" applyNumberFormat="1" applyFont="1" applyFill="1" applyBorder="1" applyAlignment="1" applyProtection="1">
      <alignment horizontal="justify" vertical="center"/>
    </xf>
    <xf numFmtId="0" fontId="14" fillId="0" borderId="1" xfId="0" applyFont="1" applyFill="1" applyBorder="1" applyAlignment="1">
      <alignment horizontal="left" vertical="center" wrapText="1"/>
    </xf>
    <xf numFmtId="0" fontId="101" fillId="8" borderId="2" xfId="0" applyFont="1" applyFill="1" applyBorder="1" applyAlignment="1">
      <alignment horizontal="left" vertical="center" wrapText="1"/>
    </xf>
    <xf numFmtId="181" fontId="8" fillId="8" borderId="1" xfId="11" applyNumberFormat="1" applyFont="1" applyFill="1" applyBorder="1" applyAlignment="1">
      <alignment horizontal="center" vertical="center" wrapText="1"/>
    </xf>
    <xf numFmtId="181" fontId="8" fillId="8" borderId="1" xfId="0" applyNumberFormat="1" applyFont="1" applyFill="1" applyBorder="1" applyAlignment="1">
      <alignment horizontal="center" vertical="center"/>
    </xf>
    <xf numFmtId="182" fontId="8" fillId="8" borderId="1" xfId="0" applyNumberFormat="1" applyFont="1" applyFill="1" applyBorder="1" applyAlignment="1">
      <alignment horizontal="center" vertical="center"/>
    </xf>
    <xf numFmtId="181" fontId="8" fillId="0" borderId="1" xfId="0" applyNumberFormat="1" applyFont="1" applyBorder="1" applyAlignment="1">
      <alignment horizontal="center" vertical="center"/>
    </xf>
    <xf numFmtId="181" fontId="18" fillId="0" borderId="1" xfId="0" applyNumberFormat="1" applyFont="1" applyBorder="1" applyAlignment="1">
      <alignment horizontal="center" vertical="center"/>
    </xf>
    <xf numFmtId="0" fontId="101" fillId="0" borderId="1" xfId="0" applyFont="1" applyFill="1" applyBorder="1" applyAlignment="1">
      <alignment vertical="center" wrapText="1"/>
    </xf>
    <xf numFmtId="181" fontId="17" fillId="0" borderId="1" xfId="0" applyNumberFormat="1" applyFont="1" applyFill="1" applyBorder="1" applyAlignment="1">
      <alignment horizontal="center" vertical="center"/>
    </xf>
    <xf numFmtId="181" fontId="17" fillId="0" borderId="1" xfId="0" applyNumberFormat="1" applyFont="1" applyBorder="1" applyAlignment="1">
      <alignment horizontal="center" vertical="center"/>
    </xf>
    <xf numFmtId="181" fontId="8" fillId="0" borderId="1" xfId="0" applyNumberFormat="1" applyFont="1" applyFill="1" applyBorder="1" applyAlignment="1">
      <alignment horizontal="left" vertical="center"/>
    </xf>
    <xf numFmtId="181" fontId="8" fillId="0" borderId="1" xfId="0" applyNumberFormat="1" applyFont="1" applyFill="1" applyBorder="1" applyAlignment="1">
      <alignment horizontal="center"/>
    </xf>
    <xf numFmtId="181" fontId="8" fillId="0" borderId="1" xfId="0" applyNumberFormat="1" applyFont="1" applyBorder="1" applyAlignment="1">
      <alignment horizontal="center"/>
    </xf>
    <xf numFmtId="0" fontId="8" fillId="8" borderId="1" xfId="0" applyFont="1" applyFill="1" applyBorder="1" applyAlignment="1">
      <alignment horizontal="left" vertical="top" wrapText="1"/>
    </xf>
    <xf numFmtId="181" fontId="8" fillId="8" borderId="1" xfId="0" applyNumberFormat="1" applyFont="1" applyFill="1" applyBorder="1" applyAlignment="1">
      <alignment horizontal="left" vertical="top"/>
    </xf>
    <xf numFmtId="181" fontId="8" fillId="0" borderId="1" xfId="0" applyNumberFormat="1" applyFont="1" applyFill="1" applyBorder="1" applyAlignment="1">
      <alignment horizontal="right" wrapText="1"/>
    </xf>
    <xf numFmtId="0" fontId="8" fillId="8" borderId="2" xfId="0" applyFont="1" applyFill="1" applyBorder="1" applyAlignment="1">
      <alignment horizontal="left" vertical="center" wrapText="1"/>
    </xf>
    <xf numFmtId="181" fontId="8" fillId="8" borderId="2" xfId="0" applyNumberFormat="1" applyFont="1" applyFill="1" applyBorder="1" applyAlignment="1">
      <alignment horizontal="right" vertical="center"/>
    </xf>
    <xf numFmtId="3" fontId="12" fillId="0" borderId="1" xfId="0" applyNumberFormat="1" applyFont="1" applyFill="1" applyBorder="1" applyAlignment="1">
      <alignment horizontal="center" vertical="center"/>
    </xf>
    <xf numFmtId="4" fontId="22" fillId="0" borderId="1" xfId="0" applyNumberFormat="1" applyFont="1" applyFill="1" applyBorder="1" applyAlignment="1">
      <alignment horizontal="right" vertical="center" wrapText="1"/>
    </xf>
    <xf numFmtId="4" fontId="14" fillId="0" borderId="1" xfId="0" applyNumberFormat="1" applyFont="1" applyFill="1" applyBorder="1" applyAlignment="1">
      <alignment horizontal="right" vertical="center"/>
    </xf>
    <xf numFmtId="4" fontId="21" fillId="5" borderId="1" xfId="0" applyNumberFormat="1" applyFont="1" applyFill="1" applyBorder="1" applyAlignment="1">
      <alignment horizontal="right" vertical="center"/>
    </xf>
    <xf numFmtId="4" fontId="34" fillId="5" borderId="1" xfId="0" applyNumberFormat="1" applyFont="1" applyFill="1" applyBorder="1" applyAlignment="1">
      <alignment horizontal="right" vertical="center"/>
    </xf>
    <xf numFmtId="0" fontId="8" fillId="0" borderId="2" xfId="0" applyFont="1" applyFill="1" applyBorder="1" applyAlignment="1">
      <alignment horizontal="center" vertical="center"/>
    </xf>
    <xf numFmtId="49" fontId="8" fillId="0" borderId="1" xfId="11" applyNumberFormat="1" applyFont="1" applyFill="1" applyBorder="1" applyAlignment="1">
      <alignment horizontal="left" vertical="center" wrapText="1"/>
    </xf>
    <xf numFmtId="0" fontId="58" fillId="0" borderId="1" xfId="0" applyNumberFormat="1" applyFont="1" applyFill="1" applyBorder="1" applyAlignment="1" applyProtection="1">
      <alignment horizontal="left" vertical="center" wrapText="1"/>
    </xf>
    <xf numFmtId="181" fontId="8" fillId="0" borderId="3" xfId="0" applyNumberFormat="1" applyFont="1" applyFill="1" applyBorder="1" applyAlignment="1">
      <alignment horizontal="center" vertical="center"/>
    </xf>
    <xf numFmtId="4" fontId="8" fillId="8" borderId="1" xfId="0" applyNumberFormat="1" applyFont="1" applyFill="1" applyBorder="1" applyAlignment="1">
      <alignment horizontal="right" vertical="center" wrapText="1"/>
    </xf>
    <xf numFmtId="4" fontId="8" fillId="8" borderId="1" xfId="15" applyNumberFormat="1" applyFont="1" applyFill="1" applyBorder="1" applyAlignment="1">
      <alignment horizontal="right" vertical="center"/>
    </xf>
    <xf numFmtId="49" fontId="21" fillId="5" borderId="4" xfId="0" applyNumberFormat="1" applyFont="1" applyFill="1" applyBorder="1" applyAlignment="1">
      <alignment horizontal="center" vertical="top"/>
    </xf>
    <xf numFmtId="0" fontId="14" fillId="8" borderId="9" xfId="0" applyFont="1" applyFill="1" applyBorder="1" applyAlignment="1">
      <alignment horizontal="justify" vertical="center" wrapText="1"/>
    </xf>
    <xf numFmtId="0" fontId="14" fillId="8" borderId="1" xfId="0" applyFont="1" applyFill="1" applyBorder="1" applyAlignment="1">
      <alignment horizontal="justify" vertical="center" wrapText="1"/>
    </xf>
    <xf numFmtId="0" fontId="14" fillId="8" borderId="12" xfId="0" applyFont="1" applyFill="1" applyBorder="1" applyAlignment="1">
      <alignment horizontal="left" vertical="top" wrapText="1" shrinkToFit="1"/>
    </xf>
    <xf numFmtId="0" fontId="14" fillId="0" borderId="5" xfId="0" applyFont="1" applyBorder="1" applyAlignment="1">
      <alignment horizontal="left" vertical="center" wrapText="1"/>
    </xf>
    <xf numFmtId="0" fontId="14" fillId="8" borderId="9" xfId="0" applyFont="1" applyFill="1" applyBorder="1" applyAlignment="1">
      <alignment horizontal="left" vertical="top" wrapText="1" shrinkToFit="1"/>
    </xf>
    <xf numFmtId="0" fontId="155" fillId="8" borderId="9" xfId="0" applyFont="1" applyFill="1" applyBorder="1" applyAlignment="1">
      <alignment horizontal="left" vertical="top" wrapText="1" shrinkToFit="1"/>
    </xf>
    <xf numFmtId="4" fontId="62" fillId="0" borderId="1" xfId="0" applyNumberFormat="1" applyFont="1" applyFill="1" applyBorder="1" applyAlignment="1">
      <alignment horizontal="right" vertical="center" wrapText="1"/>
    </xf>
    <xf numFmtId="0" fontId="62" fillId="2" borderId="1" xfId="0" applyFont="1" applyFill="1" applyBorder="1" applyAlignment="1">
      <alignment horizontal="justify" vertical="center" wrapText="1"/>
    </xf>
    <xf numFmtId="0" fontId="14" fillId="0" borderId="9" xfId="0" applyFont="1" applyFill="1" applyBorder="1" applyAlignment="1">
      <alignment horizontal="justify" vertical="center" wrapText="1"/>
    </xf>
    <xf numFmtId="4" fontId="87" fillId="8" borderId="1" xfId="0" applyNumberFormat="1" applyFont="1" applyFill="1" applyBorder="1" applyAlignment="1">
      <alignment horizontal="right" vertical="center" wrapText="1"/>
    </xf>
    <xf numFmtId="4" fontId="87" fillId="8" borderId="1" xfId="0" applyNumberFormat="1" applyFont="1" applyFill="1" applyBorder="1" applyAlignment="1">
      <alignment horizontal="center" vertical="center" wrapText="1"/>
    </xf>
    <xf numFmtId="4" fontId="62" fillId="8" borderId="1" xfId="0" applyNumberFormat="1" applyFont="1" applyFill="1" applyBorder="1" applyAlignment="1">
      <alignment horizontal="right" vertical="center" wrapText="1"/>
    </xf>
    <xf numFmtId="0" fontId="14" fillId="8" borderId="1" xfId="0" applyFont="1" applyFill="1" applyBorder="1" applyAlignment="1">
      <alignment horizontal="left" vertical="center" wrapText="1"/>
    </xf>
    <xf numFmtId="3" fontId="8" fillId="8" borderId="6" xfId="0" applyNumberFormat="1" applyFont="1" applyFill="1" applyBorder="1" applyAlignment="1">
      <alignment horizontal="right" vertical="center" wrapText="1"/>
    </xf>
    <xf numFmtId="4" fontId="87" fillId="0" borderId="6" xfId="14" applyNumberFormat="1" applyFont="1" applyFill="1" applyBorder="1" applyAlignment="1">
      <alignment horizontal="right" vertical="center"/>
    </xf>
    <xf numFmtId="181" fontId="40" fillId="2" borderId="1" xfId="14" applyNumberFormat="1" applyFont="1" applyFill="1" applyBorder="1" applyAlignment="1">
      <alignment horizontal="right" vertical="center"/>
    </xf>
    <xf numFmtId="4" fontId="87" fillId="8" borderId="6" xfId="14" applyNumberFormat="1" applyFont="1" applyFill="1" applyBorder="1" applyAlignment="1">
      <alignment horizontal="right" vertical="center"/>
    </xf>
    <xf numFmtId="0" fontId="14" fillId="8" borderId="4" xfId="0" applyFont="1" applyFill="1" applyBorder="1" applyAlignment="1">
      <alignment horizontal="left" vertical="center" wrapText="1"/>
    </xf>
    <xf numFmtId="4" fontId="8" fillId="0" borderId="4" xfId="0" applyNumberFormat="1" applyFont="1" applyFill="1" applyBorder="1" applyAlignment="1">
      <alignment vertical="center" wrapText="1"/>
    </xf>
    <xf numFmtId="49" fontId="22" fillId="10" borderId="1" xfId="0" applyNumberFormat="1" applyFont="1" applyFill="1" applyBorder="1" applyAlignment="1">
      <alignment horizontal="center" vertical="top"/>
    </xf>
    <xf numFmtId="0" fontId="22" fillId="10" borderId="1" xfId="0" applyFont="1" applyFill="1" applyBorder="1" applyAlignment="1">
      <alignment horizontal="left" vertical="top" wrapText="1" shrinkToFit="1"/>
    </xf>
    <xf numFmtId="3" fontId="14" fillId="10" borderId="1" xfId="0" applyNumberFormat="1" applyFont="1" applyFill="1" applyBorder="1" applyAlignment="1">
      <alignment vertical="top" wrapText="1"/>
    </xf>
    <xf numFmtId="3" fontId="14" fillId="10" borderId="2" xfId="0" applyNumberFormat="1" applyFont="1" applyFill="1" applyBorder="1" applyAlignment="1">
      <alignment vertical="top" wrapText="1"/>
    </xf>
    <xf numFmtId="3" fontId="14" fillId="10" borderId="1" xfId="0" applyNumberFormat="1" applyFont="1" applyFill="1" applyBorder="1" applyAlignment="1">
      <alignment horizontal="right" vertical="center"/>
    </xf>
    <xf numFmtId="3" fontId="22" fillId="10" borderId="1" xfId="0" applyNumberFormat="1" applyFont="1" applyFill="1" applyBorder="1" applyAlignment="1">
      <alignment horizontal="right" vertical="center" wrapText="1"/>
    </xf>
    <xf numFmtId="0" fontId="0" fillId="10" borderId="0" xfId="0" applyFill="1"/>
    <xf numFmtId="3" fontId="0" fillId="10" borderId="0" xfId="0" applyNumberFormat="1" applyFill="1"/>
    <xf numFmtId="49" fontId="135" fillId="0" borderId="4" xfId="0" applyNumberFormat="1" applyFont="1" applyFill="1" applyBorder="1" applyAlignment="1">
      <alignment horizontal="center" vertical="top" wrapText="1"/>
    </xf>
    <xf numFmtId="0" fontId="135" fillId="0" borderId="4" xfId="0" applyFont="1" applyFill="1" applyBorder="1" applyAlignment="1">
      <alignment horizontal="center" vertical="top" wrapText="1"/>
    </xf>
    <xf numFmtId="0" fontId="135" fillId="0" borderId="7" xfId="0" applyFont="1" applyFill="1" applyBorder="1" applyAlignment="1">
      <alignment horizontal="center" vertical="top" wrapText="1"/>
    </xf>
    <xf numFmtId="0" fontId="135" fillId="0" borderId="1" xfId="0" applyFont="1" applyFill="1" applyBorder="1" applyAlignment="1">
      <alignment horizontal="center" vertical="top" wrapText="1"/>
    </xf>
    <xf numFmtId="0" fontId="14" fillId="0" borderId="0" xfId="0" applyFont="1" applyBorder="1" applyAlignment="1">
      <alignment horizontal="center" vertical="top" wrapText="1"/>
    </xf>
    <xf numFmtId="3" fontId="14" fillId="0" borderId="1" xfId="0" applyNumberFormat="1" applyFont="1" applyFill="1" applyBorder="1" applyAlignment="1">
      <alignment horizontal="left" vertical="top" wrapText="1"/>
    </xf>
    <xf numFmtId="0" fontId="130" fillId="5" borderId="1" xfId="0" applyFont="1" applyFill="1" applyBorder="1" applyAlignment="1">
      <alignment vertical="top" wrapText="1" shrinkToFit="1"/>
    </xf>
    <xf numFmtId="3" fontId="130" fillId="5" borderId="1" xfId="0" applyNumberFormat="1" applyFont="1" applyFill="1" applyBorder="1" applyAlignment="1">
      <alignment vertical="top" wrapText="1" shrinkToFit="1"/>
    </xf>
    <xf numFmtId="178" fontId="8" fillId="8" borderId="1" xfId="9" applyNumberFormat="1" applyFont="1" applyFill="1" applyBorder="1" applyAlignment="1">
      <alignment horizontal="right" vertical="center" wrapText="1"/>
    </xf>
    <xf numFmtId="1" fontId="87" fillId="0" borderId="0" xfId="0" applyNumberFormat="1" applyFont="1" applyFill="1"/>
    <xf numFmtId="4" fontId="98" fillId="0" borderId="0" xfId="0" applyNumberFormat="1" applyFont="1" applyFill="1"/>
    <xf numFmtId="3" fontId="135" fillId="8" borderId="1" xfId="0" applyNumberFormat="1" applyFont="1" applyFill="1" applyBorder="1" applyAlignment="1">
      <alignment vertical="top" wrapText="1"/>
    </xf>
    <xf numFmtId="3" fontId="137" fillId="8" borderId="1" xfId="0" applyNumberFormat="1" applyFont="1" applyFill="1" applyBorder="1" applyAlignment="1">
      <alignment vertical="top" wrapText="1"/>
    </xf>
    <xf numFmtId="3" fontId="22" fillId="8" borderId="1" xfId="0" applyNumberFormat="1" applyFont="1" applyFill="1" applyBorder="1" applyAlignment="1">
      <alignment vertical="top" wrapText="1"/>
    </xf>
    <xf numFmtId="3" fontId="14" fillId="8" borderId="1" xfId="0" applyNumberFormat="1" applyFont="1" applyFill="1" applyBorder="1" applyAlignment="1">
      <alignment vertical="top" wrapText="1"/>
    </xf>
    <xf numFmtId="3" fontId="22" fillId="8" borderId="2" xfId="0" applyNumberFormat="1" applyFont="1" applyFill="1" applyBorder="1" applyAlignment="1">
      <alignment vertical="top" wrapText="1"/>
    </xf>
    <xf numFmtId="3" fontId="22" fillId="8" borderId="2" xfId="0" applyNumberFormat="1" applyFont="1" applyFill="1" applyBorder="1" applyAlignment="1">
      <alignment vertical="top"/>
    </xf>
    <xf numFmtId="3" fontId="137" fillId="8" borderId="2" xfId="0" applyNumberFormat="1" applyFont="1" applyFill="1" applyBorder="1" applyAlignment="1">
      <alignment vertical="top"/>
    </xf>
    <xf numFmtId="4" fontId="12" fillId="8" borderId="1" xfId="15" applyNumberFormat="1" applyFont="1" applyFill="1" applyBorder="1" applyAlignment="1">
      <alignment horizontal="center"/>
    </xf>
    <xf numFmtId="3" fontId="12" fillId="0" borderId="1" xfId="15" applyNumberFormat="1" applyFont="1" applyFill="1" applyBorder="1" applyAlignment="1">
      <alignment horizontal="center"/>
    </xf>
    <xf numFmtId="3" fontId="82" fillId="0" borderId="0" xfId="15" applyNumberFormat="1" applyFont="1" applyBorder="1" applyAlignment="1">
      <alignment horizontal="center"/>
    </xf>
    <xf numFmtId="3" fontId="82" fillId="0" borderId="0" xfId="15" applyNumberFormat="1" applyFont="1" applyFill="1" applyBorder="1" applyAlignment="1">
      <alignment horizontal="center"/>
    </xf>
    <xf numFmtId="0" fontId="82" fillId="0" borderId="0" xfId="0" applyFont="1" applyFill="1"/>
    <xf numFmtId="178" fontId="82" fillId="0" borderId="0" xfId="0" applyNumberFormat="1" applyFont="1" applyBorder="1" applyAlignment="1">
      <alignment wrapText="1"/>
    </xf>
    <xf numFmtId="178" fontId="82" fillId="0" borderId="0" xfId="0" applyNumberFormat="1" applyFont="1" applyFill="1" applyBorder="1" applyAlignment="1">
      <alignment horizontal="left" wrapText="1"/>
    </xf>
    <xf numFmtId="178" fontId="12" fillId="0" borderId="0" xfId="0" applyNumberFormat="1" applyFont="1" applyBorder="1" applyAlignment="1">
      <alignment wrapText="1"/>
    </xf>
    <xf numFmtId="178" fontId="12" fillId="0" borderId="0" xfId="0" applyNumberFormat="1" applyFont="1" applyFill="1" applyBorder="1" applyAlignment="1">
      <alignment horizontal="left" wrapText="1"/>
    </xf>
    <xf numFmtId="0" fontId="0" fillId="0" borderId="0" xfId="0" applyFont="1" applyBorder="1" applyAlignment="1">
      <alignment wrapText="1"/>
    </xf>
    <xf numFmtId="178" fontId="83" fillId="0" borderId="0" xfId="0" applyNumberFormat="1" applyFont="1" applyBorder="1" applyAlignment="1">
      <alignment wrapText="1"/>
    </xf>
    <xf numFmtId="4" fontId="15" fillId="0" borderId="0" xfId="0" applyNumberFormat="1" applyFont="1" applyBorder="1" applyAlignment="1">
      <alignment horizontal="left" wrapText="1"/>
    </xf>
    <xf numFmtId="4" fontId="31" fillId="0" borderId="0" xfId="0" applyNumberFormat="1" applyFont="1"/>
    <xf numFmtId="178" fontId="84" fillId="0" borderId="0" xfId="0" applyNumberFormat="1" applyFont="1" applyBorder="1" applyAlignment="1">
      <alignment horizontal="center"/>
    </xf>
    <xf numFmtId="4" fontId="6" fillId="0" borderId="0" xfId="0" applyNumberFormat="1" applyFont="1"/>
    <xf numFmtId="0" fontId="8" fillId="8" borderId="1" xfId="8" applyFont="1" applyFill="1" applyBorder="1" applyAlignment="1">
      <alignment horizontal="left" vertical="center" wrapText="1"/>
    </xf>
    <xf numFmtId="49" fontId="12" fillId="5" borderId="1" xfId="0" applyNumberFormat="1" applyFont="1" applyFill="1" applyBorder="1" applyAlignment="1">
      <alignment horizontal="center" vertical="top"/>
    </xf>
    <xf numFmtId="0" fontId="12" fillId="5" borderId="1" xfId="0" applyFont="1" applyFill="1" applyBorder="1" applyAlignment="1">
      <alignment horizontal="left" vertical="top" wrapText="1" shrinkToFit="1"/>
    </xf>
    <xf numFmtId="0" fontId="8" fillId="8" borderId="1" xfId="0" applyFont="1" applyFill="1" applyBorder="1" applyAlignment="1">
      <alignment horizontal="left" vertical="top" wrapText="1" shrinkToFit="1"/>
    </xf>
    <xf numFmtId="0" fontId="14" fillId="8" borderId="3" xfId="0" applyFont="1" applyFill="1" applyBorder="1" applyAlignment="1">
      <alignment horizontal="justify" vertical="center" wrapText="1"/>
    </xf>
    <xf numFmtId="3" fontId="155" fillId="8" borderId="1" xfId="0" applyNumberFormat="1" applyFont="1" applyFill="1" applyBorder="1" applyAlignment="1">
      <alignment horizontal="left" vertical="center" wrapText="1"/>
    </xf>
    <xf numFmtId="3" fontId="155" fillId="8" borderId="9" xfId="0" applyNumberFormat="1" applyFont="1" applyFill="1" applyBorder="1" applyAlignment="1">
      <alignment horizontal="left" vertical="center" wrapText="1"/>
    </xf>
    <xf numFmtId="49" fontId="14" fillId="8" borderId="9" xfId="0" applyNumberFormat="1" applyFont="1" applyFill="1" applyBorder="1" applyAlignment="1">
      <alignment wrapText="1"/>
    </xf>
    <xf numFmtId="49" fontId="14" fillId="8" borderId="13" xfId="0" applyNumberFormat="1" applyFont="1" applyFill="1" applyBorder="1" applyAlignment="1">
      <alignment wrapText="1"/>
    </xf>
    <xf numFmtId="49" fontId="14" fillId="8" borderId="1" xfId="0" applyNumberFormat="1" applyFont="1" applyFill="1" applyBorder="1" applyAlignment="1">
      <alignment wrapText="1"/>
    </xf>
    <xf numFmtId="3" fontId="155" fillId="0" borderId="1" xfId="0" applyNumberFormat="1" applyFont="1" applyFill="1" applyBorder="1" applyAlignment="1">
      <alignment horizontal="left" vertical="center" wrapText="1"/>
    </xf>
    <xf numFmtId="0" fontId="155" fillId="0" borderId="9" xfId="0" applyFont="1" applyFill="1" applyBorder="1" applyAlignment="1">
      <alignment horizontal="justify" vertical="center" wrapText="1"/>
    </xf>
    <xf numFmtId="3" fontId="14" fillId="0" borderId="1" xfId="0" applyNumberFormat="1" applyFont="1" applyFill="1" applyBorder="1" applyAlignment="1">
      <alignment horizontal="left" vertical="center" wrapText="1"/>
    </xf>
    <xf numFmtId="3" fontId="14" fillId="0" borderId="4" xfId="0" applyNumberFormat="1" applyFont="1" applyFill="1" applyBorder="1" applyAlignment="1">
      <alignment horizontal="left" vertical="center" wrapText="1"/>
    </xf>
    <xf numFmtId="0" fontId="14" fillId="0" borderId="4" xfId="0" applyFont="1" applyFill="1" applyBorder="1" applyAlignment="1">
      <alignment horizontal="left" vertical="top" wrapText="1"/>
    </xf>
    <xf numFmtId="49" fontId="135" fillId="2" borderId="7" xfId="0" applyNumberFormat="1" applyFont="1" applyFill="1" applyBorder="1" applyAlignment="1">
      <alignment horizontal="center" vertical="top"/>
    </xf>
    <xf numFmtId="49" fontId="135" fillId="0" borderId="7" xfId="0" applyNumberFormat="1" applyFont="1" applyFill="1" applyBorder="1" applyAlignment="1">
      <alignment horizontal="center" vertical="top" wrapText="1" shrinkToFit="1"/>
    </xf>
    <xf numFmtId="0" fontId="135" fillId="0" borderId="7" xfId="0" applyFont="1" applyFill="1" applyBorder="1" applyAlignment="1">
      <alignment horizontal="center" vertical="top" wrapText="1" shrinkToFit="1"/>
    </xf>
    <xf numFmtId="49" fontId="135" fillId="0" borderId="7" xfId="0" applyNumberFormat="1" applyFont="1" applyFill="1" applyBorder="1" applyAlignment="1">
      <alignment horizontal="center" vertical="top"/>
    </xf>
    <xf numFmtId="0" fontId="135" fillId="2" borderId="1" xfId="0" applyFont="1" applyFill="1" applyBorder="1" applyAlignment="1">
      <alignment vertical="top" wrapText="1" shrinkToFit="1"/>
    </xf>
    <xf numFmtId="0" fontId="135" fillId="0" borderId="4" xfId="0" applyFont="1" applyFill="1" applyBorder="1" applyAlignment="1">
      <alignment vertical="top" wrapText="1"/>
    </xf>
    <xf numFmtId="0" fontId="135" fillId="0" borderId="7" xfId="0" applyFont="1" applyFill="1" applyBorder="1" applyAlignment="1">
      <alignment vertical="top" wrapText="1"/>
    </xf>
    <xf numFmtId="0" fontId="135" fillId="0" borderId="7" xfId="0" applyFont="1" applyFill="1" applyBorder="1" applyAlignment="1">
      <alignment horizontal="left" vertical="top" wrapText="1"/>
    </xf>
    <xf numFmtId="49" fontId="135" fillId="8" borderId="4" xfId="0" applyNumberFormat="1" applyFont="1" applyFill="1" applyBorder="1" applyAlignment="1">
      <alignment horizontal="center" vertical="top"/>
    </xf>
    <xf numFmtId="49" fontId="135" fillId="8" borderId="1" xfId="0" applyNumberFormat="1" applyFont="1" applyFill="1" applyBorder="1" applyAlignment="1">
      <alignment horizontal="center" vertical="top"/>
    </xf>
    <xf numFmtId="4" fontId="12" fillId="5" borderId="1" xfId="0" applyNumberFormat="1" applyFont="1" applyFill="1" applyBorder="1" applyAlignment="1">
      <alignment horizontal="right" vertical="top"/>
    </xf>
    <xf numFmtId="3" fontId="12" fillId="5" borderId="1" xfId="0" applyNumberFormat="1" applyFont="1" applyFill="1" applyBorder="1" applyAlignment="1">
      <alignment horizontal="right" vertical="top"/>
    </xf>
    <xf numFmtId="4" fontId="12" fillId="5" borderId="1" xfId="0" applyNumberFormat="1" applyFont="1" applyFill="1" applyBorder="1" applyAlignment="1">
      <alignment horizontal="right" vertical="top" wrapText="1" shrinkToFit="1"/>
    </xf>
    <xf numFmtId="3" fontId="12" fillId="5" borderId="1" xfId="0" applyNumberFormat="1" applyFont="1" applyFill="1" applyBorder="1" applyAlignment="1">
      <alignment horizontal="right" vertical="top" wrapText="1" shrinkToFit="1"/>
    </xf>
    <xf numFmtId="0" fontId="57" fillId="2" borderId="12" xfId="0" applyFont="1" applyFill="1" applyBorder="1" applyAlignment="1">
      <alignment horizontal="left" vertical="top" wrapText="1" shrinkToFit="1"/>
    </xf>
    <xf numFmtId="4" fontId="8" fillId="2" borderId="1" xfId="0" applyNumberFormat="1" applyFont="1" applyFill="1" applyBorder="1" applyAlignment="1">
      <alignment vertical="center" wrapText="1"/>
    </xf>
    <xf numFmtId="4" fontId="87" fillId="8" borderId="1" xfId="0" applyNumberFormat="1" applyFont="1" applyFill="1" applyBorder="1" applyAlignment="1">
      <alignment vertical="top" wrapText="1" shrinkToFit="1"/>
    </xf>
    <xf numFmtId="4" fontId="87" fillId="2" borderId="1" xfId="0" applyNumberFormat="1" applyFont="1" applyFill="1" applyBorder="1" applyAlignment="1">
      <alignment vertical="center" wrapText="1"/>
    </xf>
    <xf numFmtId="0" fontId="87" fillId="0" borderId="1" xfId="0" applyFont="1" applyFill="1" applyBorder="1" applyAlignment="1">
      <alignment horizontal="left" vertical="top" wrapText="1" shrinkToFit="1"/>
    </xf>
    <xf numFmtId="0" fontId="80" fillId="0" borderId="1" xfId="0" applyFont="1" applyFill="1" applyBorder="1" applyAlignment="1">
      <alignment horizontal="justify" vertical="center" wrapText="1"/>
    </xf>
    <xf numFmtId="0" fontId="40" fillId="0" borderId="6" xfId="0" applyFont="1" applyBorder="1" applyAlignment="1">
      <alignment horizontal="right" vertical="center" wrapText="1"/>
    </xf>
    <xf numFmtId="0" fontId="11" fillId="8" borderId="0" xfId="0" applyFont="1" applyFill="1"/>
    <xf numFmtId="0" fontId="8" fillId="0" borderId="1" xfId="0" applyFont="1" applyFill="1" applyBorder="1" applyAlignment="1">
      <alignment horizontal="center" vertical="top" wrapText="1" shrinkToFit="1"/>
    </xf>
    <xf numFmtId="3" fontId="8" fillId="0" borderId="1" xfId="0" applyNumberFormat="1" applyFont="1" applyFill="1" applyBorder="1" applyAlignment="1">
      <alignment horizontal="right" vertical="top" wrapText="1" shrinkToFit="1"/>
    </xf>
    <xf numFmtId="0" fontId="18" fillId="0" borderId="1" xfId="0" applyFont="1" applyBorder="1"/>
    <xf numFmtId="4" fontId="8" fillId="0" borderId="1" xfId="0" applyNumberFormat="1" applyFont="1" applyBorder="1" applyAlignment="1">
      <alignment horizontal="center" vertical="center"/>
    </xf>
    <xf numFmtId="4" fontId="8" fillId="8" borderId="1" xfId="0" applyNumberFormat="1" applyFont="1" applyFill="1" applyBorder="1" applyAlignment="1">
      <alignment vertical="center" wrapText="1"/>
    </xf>
    <xf numFmtId="4" fontId="87" fillId="8" borderId="1" xfId="0" applyNumberFormat="1" applyFont="1" applyFill="1" applyBorder="1" applyAlignment="1">
      <alignment vertical="center" wrapText="1"/>
    </xf>
    <xf numFmtId="4" fontId="153" fillId="8" borderId="1" xfId="0" applyNumberFormat="1" applyFont="1" applyFill="1" applyBorder="1" applyAlignment="1">
      <alignment vertical="center" wrapText="1"/>
    </xf>
    <xf numFmtId="0" fontId="8" fillId="8" borderId="12" xfId="0" applyFont="1" applyFill="1" applyBorder="1" applyAlignment="1">
      <alignment wrapText="1"/>
    </xf>
    <xf numFmtId="4" fontId="8" fillId="0" borderId="1" xfId="15" applyNumberFormat="1" applyFont="1" applyFill="1" applyBorder="1" applyAlignment="1">
      <alignment vertical="center"/>
    </xf>
    <xf numFmtId="4" fontId="87" fillId="0" borderId="1" xfId="0" applyNumberFormat="1" applyFont="1" applyFill="1" applyBorder="1" applyAlignment="1">
      <alignment vertical="center" wrapText="1"/>
    </xf>
    <xf numFmtId="4" fontId="153" fillId="2" borderId="1" xfId="0" applyNumberFormat="1" applyFont="1" applyFill="1" applyBorder="1" applyAlignment="1">
      <alignment horizontal="right" vertical="center" wrapText="1"/>
    </xf>
    <xf numFmtId="4" fontId="86" fillId="0" borderId="1" xfId="0" applyNumberFormat="1" applyFont="1" applyFill="1" applyBorder="1" applyAlignment="1">
      <alignment vertical="center" wrapText="1"/>
    </xf>
    <xf numFmtId="4" fontId="87" fillId="2" borderId="1" xfId="0" applyNumberFormat="1" applyFont="1" applyFill="1" applyBorder="1" applyAlignment="1">
      <alignment horizontal="right" vertical="center" wrapText="1"/>
    </xf>
    <xf numFmtId="0" fontId="40" fillId="2" borderId="1" xfId="0" applyFont="1" applyFill="1" applyBorder="1" applyAlignment="1">
      <alignment horizontal="justify" vertical="center" wrapText="1"/>
    </xf>
    <xf numFmtId="4" fontId="8" fillId="0" borderId="1" xfId="0" applyNumberFormat="1" applyFont="1" applyFill="1" applyBorder="1" applyAlignment="1">
      <alignment horizontal="right" vertical="center" wrapText="1"/>
    </xf>
    <xf numFmtId="4" fontId="156" fillId="0" borderId="1" xfId="0" applyNumberFormat="1" applyFont="1" applyFill="1" applyBorder="1" applyAlignment="1">
      <alignment vertical="center" wrapText="1"/>
    </xf>
    <xf numFmtId="4" fontId="80" fillId="0" borderId="1" xfId="0" applyNumberFormat="1" applyFont="1" applyFill="1" applyBorder="1" applyAlignment="1">
      <alignment vertical="center" wrapText="1"/>
    </xf>
    <xf numFmtId="0" fontId="86" fillId="2" borderId="6" xfId="0" applyFont="1" applyFill="1" applyBorder="1" applyAlignment="1">
      <alignment horizontal="justify" vertical="center" wrapText="1"/>
    </xf>
    <xf numFmtId="4" fontId="153" fillId="2" borderId="6" xfId="0" applyNumberFormat="1" applyFont="1" applyFill="1" applyBorder="1" applyAlignment="1">
      <alignment horizontal="right" vertical="center" wrapText="1"/>
    </xf>
    <xf numFmtId="4" fontId="86" fillId="0" borderId="6" xfId="0" applyNumberFormat="1" applyFont="1" applyFill="1" applyBorder="1" applyAlignment="1">
      <alignment horizontal="right" vertical="center" wrapText="1"/>
    </xf>
    <xf numFmtId="4" fontId="86" fillId="2" borderId="6" xfId="0" applyNumberFormat="1" applyFont="1" applyFill="1" applyBorder="1" applyAlignment="1">
      <alignment horizontal="right" vertical="center" wrapText="1"/>
    </xf>
    <xf numFmtId="0" fontId="81" fillId="2" borderId="9" xfId="0" applyFont="1" applyFill="1" applyBorder="1" applyAlignment="1">
      <alignment horizontal="justify" vertical="center" wrapText="1"/>
    </xf>
    <xf numFmtId="3" fontId="157" fillId="0" borderId="1" xfId="0" applyNumberFormat="1" applyFont="1" applyFill="1" applyBorder="1" applyAlignment="1">
      <alignment horizontal="left" vertical="center" wrapText="1"/>
    </xf>
    <xf numFmtId="3" fontId="157" fillId="0" borderId="1" xfId="0" applyNumberFormat="1" applyFont="1" applyFill="1" applyBorder="1" applyAlignment="1">
      <alignment horizontal="right" vertical="center"/>
    </xf>
    <xf numFmtId="3" fontId="158" fillId="0" borderId="0" xfId="0" applyNumberFormat="1" applyFont="1" applyBorder="1" applyAlignment="1">
      <alignment wrapText="1"/>
    </xf>
    <xf numFmtId="3" fontId="157" fillId="3" borderId="0" xfId="0" applyNumberFormat="1" applyFont="1" applyFill="1"/>
    <xf numFmtId="3" fontId="158" fillId="0" borderId="1" xfId="0" applyNumberFormat="1" applyFont="1" applyBorder="1" applyAlignment="1">
      <alignment horizontal="center" wrapText="1"/>
    </xf>
    <xf numFmtId="0" fontId="159" fillId="0" borderId="1" xfId="0" applyFont="1" applyFill="1" applyBorder="1" applyAlignment="1">
      <alignment horizontal="left" vertical="center" wrapText="1"/>
    </xf>
    <xf numFmtId="3" fontId="159" fillId="8" borderId="1" xfId="10" applyNumberFormat="1" applyFont="1" applyFill="1" applyBorder="1" applyAlignment="1">
      <alignment horizontal="right" vertical="center" wrapText="1"/>
    </xf>
    <xf numFmtId="3" fontId="159" fillId="8" borderId="1" xfId="0" applyNumberFormat="1" applyFont="1" applyFill="1" applyBorder="1" applyAlignment="1">
      <alignment horizontal="right" vertical="center" wrapText="1"/>
    </xf>
    <xf numFmtId="3" fontId="160" fillId="8" borderId="0" xfId="0" applyNumberFormat="1" applyFont="1" applyFill="1" applyBorder="1" applyAlignment="1">
      <alignment horizontal="center" wrapText="1"/>
    </xf>
    <xf numFmtId="3" fontId="159" fillId="3" borderId="0" xfId="0" applyNumberFormat="1" applyFont="1" applyFill="1"/>
    <xf numFmtId="0" fontId="160" fillId="8" borderId="1" xfId="0" applyFont="1" applyFill="1" applyBorder="1" applyAlignment="1">
      <alignment wrapText="1"/>
    </xf>
    <xf numFmtId="3" fontId="160" fillId="8" borderId="1" xfId="0" applyNumberFormat="1" applyFont="1" applyFill="1" applyBorder="1" applyAlignment="1">
      <alignment wrapText="1"/>
    </xf>
    <xf numFmtId="3" fontId="160" fillId="0" borderId="1" xfId="0" applyNumberFormat="1" applyFont="1" applyBorder="1" applyAlignment="1">
      <alignment horizontal="center" wrapText="1"/>
    </xf>
    <xf numFmtId="0" fontId="159" fillId="0" borderId="0" xfId="0" applyFont="1"/>
    <xf numFmtId="0" fontId="161" fillId="0" borderId="0" xfId="0" applyFont="1"/>
    <xf numFmtId="0" fontId="159" fillId="0" borderId="1" xfId="0" applyFont="1" applyFill="1" applyBorder="1" applyAlignment="1">
      <alignment horizontal="right" vertical="center" wrapText="1"/>
    </xf>
    <xf numFmtId="0" fontId="14" fillId="0" borderId="16" xfId="0" applyFont="1" applyBorder="1" applyAlignment="1">
      <alignment horizontal="center" vertical="center" wrapText="1"/>
    </xf>
    <xf numFmtId="0" fontId="14" fillId="0" borderId="16" xfId="0" applyFont="1" applyBorder="1" applyAlignment="1">
      <alignment vertical="center" wrapText="1"/>
    </xf>
    <xf numFmtId="0" fontId="14" fillId="0" borderId="16" xfId="0" applyFont="1" applyBorder="1" applyAlignment="1">
      <alignment horizontal="justify" vertical="center" wrapText="1"/>
    </xf>
    <xf numFmtId="3" fontId="159" fillId="8" borderId="1" xfId="11" applyNumberFormat="1" applyFont="1" applyFill="1" applyBorder="1" applyAlignment="1">
      <alignment horizontal="right" vertical="center" wrapText="1"/>
    </xf>
    <xf numFmtId="0" fontId="135" fillId="0" borderId="7" xfId="0" applyFont="1" applyFill="1" applyBorder="1" applyAlignment="1">
      <alignment horizontal="center" vertical="top" wrapText="1"/>
    </xf>
    <xf numFmtId="4" fontId="22" fillId="0" borderId="1" xfId="0" applyNumberFormat="1" applyFont="1" applyFill="1" applyBorder="1" applyAlignment="1">
      <alignment horizontal="right" vertical="top"/>
    </xf>
    <xf numFmtId="4" fontId="23" fillId="0" borderId="2" xfId="0" applyNumberFormat="1" applyFont="1" applyFill="1" applyBorder="1" applyAlignment="1">
      <alignment horizontal="right" vertical="top"/>
    </xf>
    <xf numFmtId="4" fontId="23" fillId="0" borderId="1" xfId="0" applyNumberFormat="1" applyFont="1" applyFill="1" applyBorder="1" applyAlignment="1">
      <alignment horizontal="right" vertical="top"/>
    </xf>
    <xf numFmtId="4" fontId="14" fillId="0" borderId="1" xfId="0" applyNumberFormat="1" applyFont="1" applyFill="1" applyBorder="1" applyAlignment="1">
      <alignment horizontal="right" vertical="top" wrapText="1"/>
    </xf>
    <xf numFmtId="0" fontId="162" fillId="8" borderId="9" xfId="0" applyFont="1" applyFill="1" applyBorder="1" applyAlignment="1">
      <alignment horizontal="justify" vertical="center" wrapText="1"/>
    </xf>
    <xf numFmtId="0" fontId="163" fillId="8" borderId="1" xfId="0" applyFont="1" applyFill="1" applyBorder="1" applyAlignment="1">
      <alignment horizontal="justify" vertical="center" wrapText="1"/>
    </xf>
    <xf numFmtId="3" fontId="163" fillId="8" borderId="1" xfId="0" applyNumberFormat="1" applyFont="1" applyFill="1" applyBorder="1" applyAlignment="1">
      <alignment vertical="center" wrapText="1"/>
    </xf>
    <xf numFmtId="3" fontId="164" fillId="0" borderId="1" xfId="0" applyNumberFormat="1" applyFont="1" applyFill="1" applyBorder="1" applyAlignment="1">
      <alignment horizontal="right" vertical="center" wrapText="1"/>
    </xf>
    <xf numFmtId="4" fontId="163" fillId="8" borderId="1" xfId="0" applyNumberFormat="1" applyFont="1" applyFill="1" applyBorder="1" applyAlignment="1">
      <alignment vertical="center" wrapText="1"/>
    </xf>
    <xf numFmtId="0" fontId="162" fillId="8" borderId="3" xfId="0" applyFont="1" applyFill="1" applyBorder="1" applyAlignment="1">
      <alignment horizontal="justify" vertical="center" wrapText="1"/>
    </xf>
    <xf numFmtId="0" fontId="162" fillId="8" borderId="1" xfId="0" applyFont="1" applyFill="1" applyBorder="1" applyAlignment="1">
      <alignment horizontal="justify" vertical="center" wrapText="1"/>
    </xf>
    <xf numFmtId="0" fontId="165" fillId="0" borderId="1" xfId="0" applyFont="1" applyFill="1" applyBorder="1" applyAlignment="1">
      <alignment horizontal="justify" vertical="center" wrapText="1"/>
    </xf>
    <xf numFmtId="3" fontId="165" fillId="2" borderId="1" xfId="0" applyNumberFormat="1" applyFont="1" applyFill="1" applyBorder="1" applyAlignment="1">
      <alignment vertical="center" wrapText="1"/>
    </xf>
    <xf numFmtId="0" fontId="163" fillId="8" borderId="1" xfId="0" applyFont="1" applyFill="1" applyBorder="1" applyAlignment="1">
      <alignment wrapText="1"/>
    </xf>
    <xf numFmtId="0" fontId="135" fillId="0" borderId="6" xfId="0" applyFont="1" applyBorder="1" applyAlignment="1">
      <alignment horizontal="right" vertical="center" wrapText="1"/>
    </xf>
    <xf numFmtId="3" fontId="101" fillId="8" borderId="6" xfId="0" applyNumberFormat="1" applyFont="1" applyFill="1" applyBorder="1" applyAlignment="1">
      <alignment horizontal="right" vertical="center" wrapText="1"/>
    </xf>
    <xf numFmtId="3" fontId="101" fillId="8" borderId="6" xfId="14" applyNumberFormat="1" applyFont="1" applyFill="1" applyBorder="1" applyAlignment="1">
      <alignment horizontal="right" vertical="center"/>
    </xf>
    <xf numFmtId="181" fontId="101" fillId="2" borderId="1" xfId="14" applyNumberFormat="1" applyFont="1" applyFill="1" applyBorder="1" applyAlignment="1">
      <alignment horizontal="right" vertical="center"/>
    </xf>
    <xf numFmtId="3" fontId="104" fillId="0" borderId="1" xfId="0" applyNumberFormat="1" applyFont="1" applyFill="1" applyBorder="1" applyAlignment="1">
      <alignment horizontal="left" vertical="center" wrapText="1"/>
    </xf>
    <xf numFmtId="3" fontId="104" fillId="8" borderId="1" xfId="10" applyNumberFormat="1" applyFont="1" applyFill="1" applyBorder="1" applyAlignment="1">
      <alignment horizontal="right" vertical="center" wrapText="1"/>
    </xf>
    <xf numFmtId="4" fontId="135" fillId="0" borderId="1" xfId="0" applyNumberFormat="1" applyFont="1" applyFill="1" applyBorder="1" applyAlignment="1">
      <alignment vertical="top"/>
    </xf>
    <xf numFmtId="4" fontId="14" fillId="0" borderId="2" xfId="0" applyNumberFormat="1" applyFont="1" applyFill="1" applyBorder="1" applyAlignment="1">
      <alignment horizontal="right" vertical="top" wrapText="1"/>
    </xf>
    <xf numFmtId="0" fontId="14" fillId="9" borderId="9" xfId="0" applyFont="1" applyFill="1" applyBorder="1" applyAlignment="1">
      <alignment horizontal="justify" vertical="center" wrapText="1"/>
    </xf>
    <xf numFmtId="0" fontId="8" fillId="9" borderId="1" xfId="0" applyFont="1" applyFill="1" applyBorder="1" applyAlignment="1">
      <alignment horizontal="justify" vertical="center" wrapText="1"/>
    </xf>
    <xf numFmtId="4" fontId="8" fillId="9" borderId="1" xfId="0" applyNumberFormat="1" applyFont="1" applyFill="1" applyBorder="1" applyAlignment="1">
      <alignment vertical="center" wrapText="1"/>
    </xf>
    <xf numFmtId="4" fontId="8" fillId="9" borderId="1" xfId="0" applyNumberFormat="1" applyFont="1" applyFill="1" applyBorder="1" applyAlignment="1">
      <alignment horizontal="right" vertical="center" wrapText="1"/>
    </xf>
    <xf numFmtId="0" fontId="14" fillId="0" borderId="1" xfId="0" applyFont="1" applyBorder="1" applyAlignment="1">
      <alignment horizontal="center" wrapText="1"/>
    </xf>
    <xf numFmtId="0" fontId="8" fillId="12" borderId="2" xfId="0" applyFont="1" applyFill="1" applyBorder="1" applyAlignment="1">
      <alignment vertical="center"/>
    </xf>
    <xf numFmtId="0" fontId="8" fillId="12" borderId="9" xfId="0" applyFont="1" applyFill="1" applyBorder="1" applyAlignment="1">
      <alignment vertical="center"/>
    </xf>
    <xf numFmtId="0" fontId="8" fillId="12" borderId="3" xfId="0" applyFont="1" applyFill="1" applyBorder="1" applyAlignment="1">
      <alignment vertical="center"/>
    </xf>
    <xf numFmtId="0" fontId="14" fillId="0" borderId="7" xfId="0" applyFont="1" applyFill="1" applyBorder="1" applyAlignment="1">
      <alignment horizontal="center" vertical="top" wrapText="1" shrinkToFit="1"/>
    </xf>
    <xf numFmtId="49" fontId="135" fillId="0" borderId="7" xfId="0" applyNumberFormat="1" applyFont="1" applyFill="1" applyBorder="1" applyAlignment="1">
      <alignment horizontal="center" vertical="top" wrapText="1" shrinkToFit="1"/>
    </xf>
    <xf numFmtId="0" fontId="87" fillId="8" borderId="2" xfId="0" applyFont="1" applyFill="1" applyBorder="1" applyAlignment="1">
      <alignment horizontal="left" vertical="center" wrapText="1"/>
    </xf>
    <xf numFmtId="0" fontId="166" fillId="0" borderId="0" xfId="5" applyFont="1"/>
    <xf numFmtId="0" fontId="167" fillId="0" borderId="0" xfId="5" applyFont="1"/>
    <xf numFmtId="3" fontId="167" fillId="0" borderId="0" xfId="5" applyNumberFormat="1" applyFont="1"/>
    <xf numFmtId="0" fontId="168" fillId="0" borderId="0" xfId="5" applyFont="1"/>
    <xf numFmtId="0" fontId="169" fillId="0" borderId="0" xfId="5" applyFont="1"/>
    <xf numFmtId="0" fontId="170" fillId="0" borderId="0" xfId="5" applyFont="1"/>
    <xf numFmtId="0" fontId="167" fillId="8" borderId="0" xfId="5" applyFont="1" applyFill="1"/>
    <xf numFmtId="0" fontId="167" fillId="0" borderId="0" xfId="0" applyFont="1"/>
    <xf numFmtId="0" fontId="171" fillId="0" borderId="0" xfId="0" applyFont="1"/>
    <xf numFmtId="3" fontId="171" fillId="3" borderId="0" xfId="0" applyNumberFormat="1" applyFont="1" applyFill="1"/>
    <xf numFmtId="0" fontId="172" fillId="0" borderId="0" xfId="0" applyFont="1"/>
    <xf numFmtId="3" fontId="171" fillId="0" borderId="0" xfId="0" applyNumberFormat="1" applyFont="1" applyFill="1" applyBorder="1" applyAlignment="1">
      <alignment horizontal="left" vertical="center" wrapText="1"/>
    </xf>
    <xf numFmtId="0" fontId="171" fillId="3" borderId="0" xfId="0" applyFont="1" applyFill="1"/>
    <xf numFmtId="0" fontId="171" fillId="0" borderId="0" xfId="0" applyFont="1" applyFill="1"/>
    <xf numFmtId="0" fontId="171" fillId="0" borderId="1" xfId="0" applyFont="1" applyFill="1" applyBorder="1" applyAlignment="1">
      <alignment horizontal="left" vertical="center" wrapText="1"/>
    </xf>
    <xf numFmtId="0" fontId="171" fillId="9" borderId="0" xfId="0" applyFont="1" applyFill="1"/>
    <xf numFmtId="0" fontId="171" fillId="8" borderId="0" xfId="0" applyFont="1" applyFill="1"/>
    <xf numFmtId="0" fontId="172" fillId="3" borderId="0" xfId="0" applyFont="1" applyFill="1"/>
    <xf numFmtId="3" fontId="86" fillId="0" borderId="0" xfId="0" applyNumberFormat="1" applyFont="1" applyFill="1" applyBorder="1" applyAlignment="1">
      <alignment horizontal="right" vertical="center"/>
    </xf>
    <xf numFmtId="3" fontId="86" fillId="0" borderId="0" xfId="0" applyNumberFormat="1" applyFont="1" applyFill="1" applyBorder="1" applyAlignment="1">
      <alignment horizontal="left" vertical="center" wrapText="1"/>
    </xf>
    <xf numFmtId="3" fontId="172" fillId="8" borderId="0" xfId="0" applyNumberFormat="1" applyFont="1" applyFill="1" applyBorder="1" applyAlignment="1">
      <alignment horizontal="center" wrapText="1"/>
    </xf>
    <xf numFmtId="0" fontId="173" fillId="0" borderId="0" xfId="0" applyFont="1" applyFill="1"/>
    <xf numFmtId="0" fontId="173" fillId="0" borderId="0" xfId="0" applyFont="1" applyFill="1" applyBorder="1"/>
    <xf numFmtId="3" fontId="174" fillId="5" borderId="0" xfId="0" applyNumberFormat="1" applyFont="1" applyFill="1" applyBorder="1"/>
    <xf numFmtId="4" fontId="174" fillId="5" borderId="0" xfId="0" applyNumberFormat="1" applyFont="1" applyFill="1" applyBorder="1"/>
    <xf numFmtId="0" fontId="174" fillId="5" borderId="0" xfId="0" applyFont="1" applyFill="1" applyBorder="1"/>
    <xf numFmtId="0" fontId="175" fillId="0" borderId="0" xfId="0" applyFont="1" applyFill="1" applyBorder="1"/>
    <xf numFmtId="0" fontId="176" fillId="0" borderId="0" xfId="0" applyFont="1" applyFill="1" applyBorder="1"/>
    <xf numFmtId="4" fontId="177" fillId="5" borderId="0" xfId="0" applyNumberFormat="1" applyFont="1" applyFill="1" applyBorder="1"/>
    <xf numFmtId="0" fontId="178" fillId="0" borderId="0" xfId="0" applyFont="1" applyFill="1" applyBorder="1"/>
    <xf numFmtId="0" fontId="179" fillId="5" borderId="0" xfId="0" applyFont="1" applyFill="1" applyBorder="1"/>
    <xf numFmtId="0" fontId="175" fillId="0" borderId="0" xfId="0" applyFont="1" applyFill="1"/>
    <xf numFmtId="0" fontId="177" fillId="5" borderId="0" xfId="0" applyFont="1" applyFill="1" applyBorder="1"/>
    <xf numFmtId="4" fontId="177" fillId="0" borderId="0" xfId="0" applyNumberFormat="1" applyFont="1" applyFill="1" applyBorder="1"/>
    <xf numFmtId="0" fontId="180" fillId="5" borderId="0" xfId="0" applyFont="1" applyFill="1"/>
    <xf numFmtId="0" fontId="177" fillId="0" borderId="0" xfId="0" applyFont="1" applyFill="1" applyBorder="1"/>
    <xf numFmtId="0" fontId="178" fillId="0" borderId="0" xfId="0" applyFont="1" applyFill="1"/>
    <xf numFmtId="0" fontId="181" fillId="0" borderId="0" xfId="0" applyFont="1" applyFill="1"/>
    <xf numFmtId="3" fontId="174" fillId="0" borderId="0" xfId="0" applyNumberFormat="1" applyFont="1" applyFill="1" applyBorder="1"/>
    <xf numFmtId="4" fontId="182" fillId="5" borderId="0" xfId="0" applyNumberFormat="1" applyFont="1" applyFill="1" applyBorder="1"/>
    <xf numFmtId="0" fontId="180" fillId="5" borderId="0" xfId="0" applyFont="1" applyFill="1" applyBorder="1"/>
    <xf numFmtId="4" fontId="183" fillId="5" borderId="0" xfId="0" applyNumberFormat="1" applyFont="1" applyFill="1" applyBorder="1"/>
    <xf numFmtId="3" fontId="177" fillId="5" borderId="0" xfId="0" applyNumberFormat="1" applyFont="1" applyFill="1" applyBorder="1"/>
    <xf numFmtId="0" fontId="182" fillId="0" borderId="0" xfId="0" applyFont="1" applyFill="1" applyBorder="1"/>
    <xf numFmtId="0" fontId="182" fillId="0" borderId="0" xfId="0" applyFont="1" applyFill="1"/>
    <xf numFmtId="0" fontId="177" fillId="5" borderId="0" xfId="0" applyFont="1" applyFill="1"/>
    <xf numFmtId="0" fontId="183" fillId="0" borderId="0" xfId="0" applyFont="1" applyFill="1" applyBorder="1"/>
    <xf numFmtId="0" fontId="181" fillId="0" borderId="0" xfId="0" applyFont="1" applyFill="1" applyBorder="1"/>
    <xf numFmtId="0" fontId="173" fillId="5" borderId="0" xfId="0" applyFont="1" applyFill="1" applyBorder="1"/>
    <xf numFmtId="0" fontId="173" fillId="5" borderId="0" xfId="0" applyFont="1" applyFill="1"/>
    <xf numFmtId="0" fontId="183" fillId="0" borderId="0" xfId="0" applyFont="1" applyFill="1"/>
    <xf numFmtId="3" fontId="175" fillId="0" borderId="0" xfId="0" applyNumberFormat="1" applyFont="1" applyFill="1" applyBorder="1"/>
    <xf numFmtId="4" fontId="180" fillId="6" borderId="0" xfId="0" applyNumberFormat="1" applyFont="1" applyFill="1"/>
    <xf numFmtId="0" fontId="180" fillId="6" borderId="0" xfId="0" applyFont="1" applyFill="1" applyBorder="1"/>
    <xf numFmtId="4" fontId="130" fillId="5" borderId="7" xfId="0" applyNumberFormat="1" applyFont="1" applyFill="1" applyBorder="1" applyAlignment="1">
      <alignment horizontal="right" vertical="top"/>
    </xf>
    <xf numFmtId="4" fontId="184" fillId="5" borderId="0" xfId="0" applyNumberFormat="1" applyFont="1" applyFill="1" applyBorder="1" applyAlignment="1">
      <alignment horizontal="right" vertical="top"/>
    </xf>
    <xf numFmtId="0" fontId="56" fillId="0" borderId="0" xfId="0" applyFont="1" applyBorder="1"/>
    <xf numFmtId="0" fontId="8" fillId="0" borderId="0" xfId="0" applyFont="1" applyBorder="1" applyAlignment="1">
      <alignment wrapText="1"/>
    </xf>
    <xf numFmtId="3" fontId="8" fillId="0" borderId="0" xfId="0" applyNumberFormat="1" applyFont="1" applyBorder="1"/>
    <xf numFmtId="0" fontId="12" fillId="0" borderId="0" xfId="0" applyFont="1" applyBorder="1"/>
    <xf numFmtId="3" fontId="12" fillId="0" borderId="0" xfId="0" applyNumberFormat="1" applyFont="1" applyBorder="1"/>
    <xf numFmtId="4" fontId="56" fillId="0" borderId="0" xfId="0" applyNumberFormat="1" applyFont="1" applyBorder="1"/>
    <xf numFmtId="0" fontId="188" fillId="0" borderId="0" xfId="0" applyFont="1" applyFill="1"/>
    <xf numFmtId="0" fontId="189" fillId="0" borderId="0" xfId="0" applyFont="1" applyFill="1"/>
    <xf numFmtId="0" fontId="189" fillId="0" borderId="0" xfId="0" applyFont="1"/>
    <xf numFmtId="0" fontId="190" fillId="0" borderId="0" xfId="0" applyFont="1" applyFill="1"/>
    <xf numFmtId="0" fontId="189" fillId="7" borderId="0" xfId="0" applyFont="1" applyFill="1"/>
    <xf numFmtId="0" fontId="189" fillId="0" borderId="0" xfId="0" applyFont="1" applyAlignment="1">
      <alignment horizontal="left"/>
    </xf>
    <xf numFmtId="0" fontId="191" fillId="0" borderId="0" xfId="0" applyFont="1" applyAlignment="1">
      <alignment horizontal="left"/>
    </xf>
    <xf numFmtId="0" fontId="167" fillId="0" borderId="0" xfId="0" applyFont="1" applyFill="1"/>
    <xf numFmtId="181" fontId="171" fillId="0" borderId="0" xfId="0" applyNumberFormat="1" applyFont="1" applyFill="1"/>
    <xf numFmtId="0" fontId="172" fillId="0" borderId="0" xfId="0" applyFont="1" applyFill="1"/>
    <xf numFmtId="0" fontId="171" fillId="7" borderId="0" xfId="0" applyFont="1" applyFill="1"/>
    <xf numFmtId="3" fontId="171" fillId="0" borderId="0" xfId="0" applyNumberFormat="1" applyFont="1" applyFill="1"/>
    <xf numFmtId="0" fontId="171" fillId="0" borderId="0" xfId="0" applyFont="1" applyAlignment="1">
      <alignment horizontal="left"/>
    </xf>
    <xf numFmtId="3" fontId="172" fillId="11" borderId="0" xfId="0" applyNumberFormat="1" applyFont="1" applyFill="1"/>
    <xf numFmtId="0" fontId="172" fillId="11" borderId="0" xfId="0" applyFont="1" applyFill="1"/>
    <xf numFmtId="3" fontId="172" fillId="0" borderId="0" xfId="0" applyNumberFormat="1" applyFont="1"/>
    <xf numFmtId="0" fontId="171" fillId="11" borderId="0" xfId="0" applyFont="1" applyFill="1"/>
    <xf numFmtId="0" fontId="171" fillId="0" borderId="0" xfId="0" applyFont="1" applyAlignment="1"/>
    <xf numFmtId="0" fontId="173" fillId="0" borderId="0" xfId="0" applyFont="1"/>
    <xf numFmtId="0" fontId="177" fillId="0" borderId="0" xfId="0" applyFont="1" applyAlignment="1">
      <alignment horizontal="center"/>
    </xf>
    <xf numFmtId="0" fontId="173" fillId="0" borderId="0" xfId="0" applyFont="1" applyAlignment="1">
      <alignment wrapText="1"/>
    </xf>
    <xf numFmtId="0" fontId="172" fillId="0" borderId="0" xfId="0" applyFont="1" applyAlignment="1">
      <alignment horizontal="center"/>
    </xf>
    <xf numFmtId="0" fontId="192" fillId="0" borderId="0" xfId="5" applyFont="1" applyAlignment="1">
      <alignment horizontal="right"/>
    </xf>
    <xf numFmtId="0" fontId="171" fillId="0" borderId="0" xfId="0" applyFont="1" applyBorder="1" applyAlignment="1">
      <alignment horizontal="center" vertical="center" wrapText="1"/>
    </xf>
    <xf numFmtId="0" fontId="171" fillId="0" borderId="0" xfId="0" applyFont="1" applyFill="1" applyBorder="1" applyAlignment="1">
      <alignment horizontal="center" vertical="center" wrapText="1"/>
    </xf>
    <xf numFmtId="3" fontId="184" fillId="5" borderId="0" xfId="0" applyNumberFormat="1" applyFont="1" applyFill="1" applyBorder="1" applyAlignment="1">
      <alignment vertical="top"/>
    </xf>
    <xf numFmtId="3" fontId="180" fillId="0" borderId="0" xfId="0" applyNumberFormat="1" applyFont="1"/>
    <xf numFmtId="0" fontId="180" fillId="0" borderId="0" xfId="0" applyFont="1"/>
    <xf numFmtId="3" fontId="171" fillId="8" borderId="0" xfId="15" applyNumberFormat="1" applyFont="1" applyFill="1" applyBorder="1" applyAlignment="1">
      <alignment vertical="center"/>
    </xf>
    <xf numFmtId="3" fontId="173" fillId="0" borderId="0" xfId="0" applyNumberFormat="1" applyFont="1"/>
    <xf numFmtId="0" fontId="173" fillId="8" borderId="0" xfId="0" applyFont="1" applyFill="1"/>
    <xf numFmtId="3" fontId="184" fillId="5" borderId="0" xfId="0" applyNumberFormat="1" applyFont="1" applyFill="1" applyBorder="1" applyAlignment="1">
      <alignment horizontal="right" vertical="top" wrapText="1" shrinkToFit="1"/>
    </xf>
    <xf numFmtId="0" fontId="180" fillId="8" borderId="0" xfId="0" applyFont="1" applyFill="1"/>
    <xf numFmtId="3" fontId="193" fillId="0" borderId="0" xfId="0" applyNumberFormat="1" applyFont="1" applyFill="1" applyBorder="1" applyAlignment="1">
      <alignment horizontal="right" vertical="top" wrapText="1" shrinkToFit="1"/>
    </xf>
    <xf numFmtId="4" fontId="184" fillId="5" borderId="0" xfId="0" applyNumberFormat="1" applyFont="1" applyFill="1" applyBorder="1" applyAlignment="1">
      <alignment vertical="top"/>
    </xf>
    <xf numFmtId="3" fontId="194" fillId="8" borderId="0" xfId="0" applyNumberFormat="1" applyFont="1" applyFill="1" applyBorder="1" applyAlignment="1">
      <alignment horizontal="right" vertical="center" wrapText="1"/>
    </xf>
    <xf numFmtId="4" fontId="193" fillId="0" borderId="0" xfId="0" applyNumberFormat="1" applyFont="1" applyFill="1" applyBorder="1" applyAlignment="1">
      <alignment vertical="center" wrapText="1"/>
    </xf>
    <xf numFmtId="4" fontId="193" fillId="8" borderId="0" xfId="0" applyNumberFormat="1" applyFont="1" applyFill="1" applyBorder="1" applyAlignment="1">
      <alignment vertical="center" wrapText="1"/>
    </xf>
    <xf numFmtId="0" fontId="173" fillId="10" borderId="0" xfId="0" applyFont="1" applyFill="1"/>
    <xf numFmtId="4" fontId="172" fillId="0" borderId="0" xfId="0" applyNumberFormat="1" applyFont="1" applyFill="1" applyBorder="1" applyAlignment="1">
      <alignment horizontal="center" vertical="center" wrapText="1"/>
    </xf>
    <xf numFmtId="0" fontId="180" fillId="0" borderId="0" xfId="0" applyFont="1" applyAlignment="1">
      <alignment horizontal="center"/>
    </xf>
    <xf numFmtId="4" fontId="171" fillId="0" borderId="0" xfId="0" applyNumberFormat="1" applyFont="1" applyFill="1" applyBorder="1" applyAlignment="1">
      <alignment vertical="center" wrapText="1"/>
    </xf>
    <xf numFmtId="0" fontId="195" fillId="0" borderId="0" xfId="0" applyFont="1" applyAlignment="1">
      <alignment horizontal="left"/>
    </xf>
    <xf numFmtId="0" fontId="171" fillId="0" borderId="0" xfId="5" applyFont="1" applyBorder="1"/>
    <xf numFmtId="0" fontId="173" fillId="0" borderId="0" xfId="0" applyFont="1" applyAlignment="1">
      <alignment horizontal="right"/>
    </xf>
    <xf numFmtId="3" fontId="148" fillId="8" borderId="4" xfId="0" applyNumberFormat="1" applyFont="1" applyFill="1" applyBorder="1" applyAlignment="1">
      <alignment horizontal="right" vertical="center" wrapText="1"/>
    </xf>
    <xf numFmtId="3" fontId="148" fillId="8" borderId="7" xfId="0" applyNumberFormat="1" applyFont="1" applyFill="1" applyBorder="1" applyAlignment="1">
      <alignment horizontal="right" vertical="center" wrapText="1"/>
    </xf>
    <xf numFmtId="3" fontId="184" fillId="5" borderId="0" xfId="0" applyNumberFormat="1" applyFont="1" applyFill="1" applyBorder="1" applyAlignment="1">
      <alignment horizontal="right" vertical="top"/>
    </xf>
    <xf numFmtId="3" fontId="171" fillId="8" borderId="0" xfId="15" applyNumberFormat="1" applyFont="1" applyFill="1" applyBorder="1" applyAlignment="1">
      <alignment horizontal="right" vertical="center"/>
    </xf>
    <xf numFmtId="3" fontId="196" fillId="0" borderId="0" xfId="0" applyNumberFormat="1" applyFont="1" applyFill="1" applyBorder="1" applyAlignment="1">
      <alignment horizontal="right" vertical="top" wrapText="1" shrinkToFit="1"/>
    </xf>
    <xf numFmtId="4" fontId="196" fillId="2" borderId="0" xfId="0" applyNumberFormat="1" applyFont="1" applyFill="1" applyBorder="1" applyAlignment="1">
      <alignment horizontal="right" vertical="center" wrapText="1"/>
    </xf>
    <xf numFmtId="4" fontId="196" fillId="8" borderId="0" xfId="0" applyNumberFormat="1" applyFont="1" applyFill="1" applyBorder="1" applyAlignment="1">
      <alignment horizontal="right" vertical="center" wrapText="1"/>
    </xf>
    <xf numFmtId="4" fontId="194" fillId="8" borderId="0" xfId="0" applyNumberFormat="1" applyFont="1" applyFill="1" applyBorder="1" applyAlignment="1">
      <alignment horizontal="right" vertical="center" wrapText="1"/>
    </xf>
    <xf numFmtId="0" fontId="175" fillId="0" borderId="0" xfId="0" applyFont="1" applyFill="1" applyAlignment="1">
      <alignment vertical="top"/>
    </xf>
    <xf numFmtId="3" fontId="173" fillId="0" borderId="0" xfId="0" applyNumberFormat="1" applyFont="1" applyFill="1"/>
    <xf numFmtId="4" fontId="180" fillId="10" borderId="0" xfId="0" applyNumberFormat="1" applyFont="1" applyFill="1"/>
    <xf numFmtId="3" fontId="180" fillId="0" borderId="0" xfId="0" applyNumberFormat="1" applyFont="1" applyFill="1"/>
    <xf numFmtId="0" fontId="180" fillId="0" borderId="0" xfId="0" applyFont="1" applyFill="1"/>
    <xf numFmtId="3" fontId="173" fillId="0" borderId="0" xfId="0" applyNumberFormat="1" applyFont="1" applyFill="1" applyBorder="1"/>
    <xf numFmtId="0" fontId="189" fillId="0" borderId="0" xfId="0" applyFont="1" applyFill="1" applyBorder="1" applyAlignment="1">
      <alignment horizontal="left" vertical="center" wrapText="1"/>
    </xf>
    <xf numFmtId="0" fontId="14" fillId="0" borderId="1" xfId="5" applyFont="1" applyBorder="1" applyAlignment="1">
      <alignment horizontal="center" vertical="top" wrapText="1"/>
    </xf>
    <xf numFmtId="0" fontId="9" fillId="0" borderId="0" xfId="5" applyFont="1" applyAlignment="1">
      <alignment horizontal="center"/>
    </xf>
    <xf numFmtId="0" fontId="14" fillId="0" borderId="4" xfId="5" applyFont="1" applyBorder="1" applyAlignment="1">
      <alignment horizontal="center" vertical="top"/>
    </xf>
    <xf numFmtId="0" fontId="14" fillId="0" borderId="6" xfId="5" applyFont="1" applyBorder="1" applyAlignment="1">
      <alignment horizontal="center" vertical="top"/>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8" fillId="0" borderId="1" xfId="0" applyFont="1" applyBorder="1" applyAlignment="1">
      <alignment horizontal="center" vertical="center" wrapText="1"/>
    </xf>
    <xf numFmtId="0" fontId="8" fillId="0" borderId="6" xfId="0" applyFont="1" applyBorder="1" applyAlignment="1">
      <alignment horizontal="left" wrapText="1"/>
    </xf>
    <xf numFmtId="0" fontId="185" fillId="0" borderId="0" xfId="0" applyFont="1" applyAlignment="1">
      <alignment horizontal="center" wrapText="1"/>
    </xf>
    <xf numFmtId="0" fontId="185" fillId="0" borderId="0" xfId="0" applyFont="1" applyFill="1" applyAlignment="1">
      <alignment horizontal="center" wrapText="1"/>
    </xf>
    <xf numFmtId="0" fontId="9" fillId="0" borderId="0" xfId="0" applyFont="1" applyAlignment="1">
      <alignment horizontal="center" wrapText="1"/>
    </xf>
    <xf numFmtId="0" fontId="110" fillId="0" borderId="7" xfId="0" applyFont="1" applyBorder="1" applyAlignment="1">
      <alignment horizontal="center" vertical="center" wrapText="1"/>
    </xf>
    <xf numFmtId="0" fontId="110" fillId="0" borderId="4" xfId="0" applyFont="1" applyBorder="1" applyAlignment="1">
      <alignment horizontal="center" vertical="center" wrapText="1"/>
    </xf>
    <xf numFmtId="0" fontId="110" fillId="0" borderId="6"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57" fillId="0" borderId="2" xfId="0" applyFont="1" applyBorder="1" applyAlignment="1">
      <alignment horizontal="center" vertical="top" wrapText="1"/>
    </xf>
    <xf numFmtId="0" fontId="57" fillId="0" borderId="3" xfId="0" applyFont="1" applyBorder="1" applyAlignment="1">
      <alignment horizontal="center" vertical="top" wrapText="1"/>
    </xf>
    <xf numFmtId="0" fontId="7" fillId="0" borderId="0" xfId="0" applyFont="1" applyAlignment="1">
      <alignment horizontal="center"/>
    </xf>
    <xf numFmtId="0" fontId="8" fillId="0" borderId="4" xfId="0" applyFont="1" applyBorder="1" applyAlignment="1">
      <alignment horizontal="center" vertical="top" wrapText="1"/>
    </xf>
    <xf numFmtId="0" fontId="8" fillId="0" borderId="6" xfId="0" applyFont="1" applyBorder="1" applyAlignment="1">
      <alignment horizontal="center" vertical="top" wrapText="1"/>
    </xf>
    <xf numFmtId="0" fontId="57" fillId="0" borderId="4" xfId="0" applyFont="1" applyBorder="1" applyAlignment="1">
      <alignment horizontal="center" vertical="top" wrapText="1"/>
    </xf>
    <xf numFmtId="0" fontId="57" fillId="0" borderId="6" xfId="0" applyFont="1" applyBorder="1" applyAlignment="1">
      <alignment horizontal="center" vertical="top" wrapText="1"/>
    </xf>
    <xf numFmtId="0" fontId="18" fillId="0" borderId="4" xfId="0" applyFont="1" applyBorder="1" applyAlignment="1">
      <alignment horizontal="center" vertical="top"/>
    </xf>
    <xf numFmtId="0" fontId="18" fillId="0" borderId="6" xfId="0" applyFont="1" applyBorder="1" applyAlignment="1">
      <alignment horizontal="center" vertical="top"/>
    </xf>
    <xf numFmtId="0" fontId="101" fillId="0" borderId="0" xfId="0" applyFont="1" applyAlignment="1">
      <alignment horizontal="left"/>
    </xf>
    <xf numFmtId="0" fontId="101" fillId="3" borderId="0" xfId="0" applyFont="1" applyFill="1" applyAlignment="1">
      <alignment horizontal="left"/>
    </xf>
    <xf numFmtId="0" fontId="131" fillId="0" borderId="1" xfId="0" applyFont="1" applyFill="1" applyBorder="1" applyAlignment="1">
      <alignment horizontal="center" vertical="top" wrapText="1"/>
    </xf>
    <xf numFmtId="0" fontId="132" fillId="0" borderId="6" xfId="0" applyFont="1" applyFill="1" applyBorder="1" applyAlignment="1">
      <alignment horizontal="center" vertical="top" wrapText="1"/>
    </xf>
    <xf numFmtId="0" fontId="132" fillId="0" borderId="1" xfId="0" applyFont="1" applyFill="1" applyBorder="1" applyAlignment="1">
      <alignment horizontal="center" vertical="top" wrapText="1"/>
    </xf>
    <xf numFmtId="0" fontId="131" fillId="0" borderId="1" xfId="0" applyFont="1" applyFill="1" applyBorder="1" applyAlignment="1">
      <alignment horizontal="center" vertical="top"/>
    </xf>
    <xf numFmtId="0" fontId="131" fillId="0" borderId="4" xfId="0" applyFont="1" applyFill="1" applyBorder="1" applyAlignment="1">
      <alignment horizontal="center" vertical="top"/>
    </xf>
    <xf numFmtId="0" fontId="131" fillId="0" borderId="13" xfId="0" applyFont="1" applyFill="1" applyBorder="1" applyAlignment="1">
      <alignment horizontal="center" vertical="top"/>
    </xf>
    <xf numFmtId="0" fontId="187" fillId="0" borderId="0" xfId="0" applyFont="1" applyFill="1" applyAlignment="1">
      <alignment horizontal="center" wrapText="1"/>
    </xf>
    <xf numFmtId="49" fontId="135" fillId="0" borderId="4" xfId="0" applyNumberFormat="1" applyFont="1" applyFill="1" applyBorder="1" applyAlignment="1">
      <alignment horizontal="center" vertical="top" wrapText="1"/>
    </xf>
    <xf numFmtId="49" fontId="135" fillId="0" borderId="7" xfId="0" applyNumberFormat="1" applyFont="1" applyFill="1" applyBorder="1" applyAlignment="1">
      <alignment horizontal="center" vertical="top" wrapText="1"/>
    </xf>
    <xf numFmtId="49" fontId="135" fillId="0" borderId="6" xfId="0" applyNumberFormat="1" applyFont="1" applyFill="1" applyBorder="1" applyAlignment="1">
      <alignment horizontal="center" vertical="top" wrapText="1"/>
    </xf>
    <xf numFmtId="0" fontId="186" fillId="0" borderId="1" xfId="0" applyFont="1" applyFill="1" applyBorder="1" applyAlignment="1">
      <alignment horizontal="center" vertical="top" wrapText="1"/>
    </xf>
    <xf numFmtId="0" fontId="135" fillId="0" borderId="4" xfId="0" applyFont="1" applyFill="1" applyBorder="1" applyAlignment="1">
      <alignment horizontal="center" vertical="top" wrapText="1"/>
    </xf>
    <xf numFmtId="0" fontId="135" fillId="0" borderId="7" xfId="0" applyFont="1" applyFill="1" applyBorder="1" applyAlignment="1">
      <alignment horizontal="center" vertical="top" wrapText="1"/>
    </xf>
    <xf numFmtId="0" fontId="135" fillId="0" borderId="6" xfId="0" applyFont="1" applyFill="1" applyBorder="1" applyAlignment="1">
      <alignment horizontal="center" vertical="top" wrapText="1"/>
    </xf>
    <xf numFmtId="0" fontId="7" fillId="0" borderId="0" xfId="0" applyFont="1" applyFill="1" applyAlignment="1">
      <alignment horizontal="center" wrapText="1"/>
    </xf>
    <xf numFmtId="0" fontId="135" fillId="0" borderId="0" xfId="0" applyFont="1" applyFill="1" applyBorder="1" applyAlignment="1">
      <alignment horizontal="center" vertical="top" wrapText="1"/>
    </xf>
    <xf numFmtId="0" fontId="135" fillId="0" borderId="11" xfId="0" applyFont="1" applyFill="1" applyBorder="1" applyAlignment="1">
      <alignment horizontal="center" vertical="top" wrapText="1"/>
    </xf>
    <xf numFmtId="0" fontId="133" fillId="0" borderId="1" xfId="0" applyFont="1" applyFill="1" applyBorder="1" applyAlignment="1">
      <alignment horizontal="center" vertical="top" wrapText="1"/>
    </xf>
    <xf numFmtId="0" fontId="186" fillId="0" borderId="2" xfId="0" applyFont="1" applyFill="1" applyBorder="1" applyAlignment="1">
      <alignment horizontal="center" vertical="top" wrapText="1"/>
    </xf>
    <xf numFmtId="0" fontId="14" fillId="8" borderId="4" xfId="0" applyFont="1" applyFill="1" applyBorder="1" applyAlignment="1">
      <alignment horizontal="center" vertical="top" wrapText="1"/>
    </xf>
    <xf numFmtId="0" fontId="14" fillId="8" borderId="7" xfId="0" applyFont="1" applyFill="1" applyBorder="1" applyAlignment="1">
      <alignment horizontal="center" vertical="top" wrapText="1"/>
    </xf>
    <xf numFmtId="0" fontId="14" fillId="8" borderId="6" xfId="0" applyFont="1" applyFill="1" applyBorder="1" applyAlignment="1">
      <alignment horizontal="center" vertical="top"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12" borderId="1" xfId="0" applyFont="1" applyFill="1" applyBorder="1" applyAlignment="1">
      <alignment horizontal="center" vertical="center" wrapText="1"/>
    </xf>
    <xf numFmtId="0" fontId="14"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12" fillId="14" borderId="1"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6" xfId="0" applyFont="1" applyFill="1" applyBorder="1" applyAlignment="1">
      <alignment horizontal="center" vertical="top" wrapText="1"/>
    </xf>
    <xf numFmtId="3" fontId="8" fillId="0" borderId="1" xfId="0" applyNumberFormat="1"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3" xfId="0" applyFont="1" applyFill="1" applyBorder="1" applyAlignment="1">
      <alignment horizontal="left" vertical="top" wrapText="1"/>
    </xf>
    <xf numFmtId="0" fontId="14" fillId="0" borderId="1" xfId="0" applyFont="1" applyBorder="1" applyAlignment="1">
      <alignment horizontal="center" vertical="center" wrapText="1"/>
    </xf>
    <xf numFmtId="3" fontId="8" fillId="8" borderId="1" xfId="0" applyNumberFormat="1" applyFont="1" applyFill="1" applyBorder="1" applyAlignment="1">
      <alignment horizontal="center" vertical="top" wrapText="1"/>
    </xf>
    <xf numFmtId="0" fontId="14" fillId="0" borderId="3" xfId="0" applyFont="1" applyFill="1" applyBorder="1" applyAlignment="1">
      <alignment horizontal="center" vertical="top" wrapText="1"/>
    </xf>
    <xf numFmtId="0" fontId="12" fillId="0" borderId="1" xfId="0" applyFont="1" applyBorder="1" applyAlignment="1">
      <alignment horizontal="left"/>
    </xf>
    <xf numFmtId="0" fontId="12" fillId="14" borderId="1" xfId="0" applyFont="1" applyFill="1" applyBorder="1" applyAlignment="1">
      <alignment horizontal="left"/>
    </xf>
    <xf numFmtId="0" fontId="8" fillId="0" borderId="6"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7" xfId="0" applyFont="1" applyFill="1" applyBorder="1" applyAlignment="1">
      <alignment horizontal="center" vertical="top" wrapText="1"/>
    </xf>
    <xf numFmtId="0" fontId="14" fillId="0" borderId="1" xfId="0" applyFont="1" applyFill="1" applyBorder="1" applyAlignment="1">
      <alignment horizontal="center" vertical="top" wrapText="1" shrinkToFit="1"/>
    </xf>
    <xf numFmtId="0" fontId="8" fillId="0" borderId="2"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9"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14" xfId="0" applyFont="1" applyFill="1" applyBorder="1" applyAlignment="1">
      <alignment horizontal="center" vertical="top" wrapText="1"/>
    </xf>
    <xf numFmtId="0" fontId="8" fillId="0" borderId="10" xfId="0" applyFont="1" applyFill="1" applyBorder="1" applyAlignment="1">
      <alignment horizontal="center" vertical="top" wrapText="1"/>
    </xf>
    <xf numFmtId="0" fontId="8" fillId="0" borderId="12" xfId="0" applyFont="1" applyFill="1" applyBorder="1" applyAlignment="1">
      <alignment horizontal="center" vertical="top"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12" fillId="14" borderId="2" xfId="0" applyFont="1" applyFill="1" applyBorder="1" applyAlignment="1">
      <alignment horizontal="center" vertical="center" wrapText="1"/>
    </xf>
    <xf numFmtId="0" fontId="12" fillId="14" borderId="9"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2" fillId="14" borderId="1" xfId="0" applyFont="1" applyFill="1" applyBorder="1" applyAlignment="1">
      <alignment horizontal="left" vertical="center" wrapText="1"/>
    </xf>
    <xf numFmtId="0" fontId="12" fillId="14" borderId="4" xfId="0" applyFont="1" applyFill="1" applyBorder="1" applyAlignment="1">
      <alignment horizontal="left" vertical="center" wrapText="1"/>
    </xf>
    <xf numFmtId="0" fontId="8" fillId="0" borderId="9" xfId="0" applyFont="1" applyBorder="1" applyAlignment="1">
      <alignment horizontal="center" vertical="top" wrapText="1"/>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7" xfId="0" applyFont="1" applyBorder="1" applyAlignment="1">
      <alignment horizontal="center" vertical="top" wrapText="1"/>
    </xf>
    <xf numFmtId="0" fontId="12" fillId="13" borderId="1" xfId="0" applyFont="1" applyFill="1" applyBorder="1" applyAlignment="1">
      <alignment horizontal="left" vertical="center"/>
    </xf>
    <xf numFmtId="0" fontId="56" fillId="0" borderId="0" xfId="5" applyFont="1" applyBorder="1" applyAlignment="1">
      <alignment horizontal="left"/>
    </xf>
    <xf numFmtId="0" fontId="8" fillId="0" borderId="6" xfId="0" applyFont="1" applyFill="1" applyBorder="1" applyAlignment="1">
      <alignment horizontal="center" vertical="center" wrapText="1"/>
    </xf>
    <xf numFmtId="0" fontId="40" fillId="0" borderId="1" xfId="0" applyFont="1" applyBorder="1" applyAlignment="1">
      <alignment horizontal="center" vertical="center" wrapText="1"/>
    </xf>
    <xf numFmtId="0" fontId="9" fillId="0" borderId="0" xfId="0" applyFont="1" applyFill="1" applyAlignment="1">
      <alignment horizontal="center" wrapText="1"/>
    </xf>
    <xf numFmtId="0" fontId="12" fillId="0" borderId="0" xfId="0" applyFont="1" applyFill="1" applyAlignment="1">
      <alignment horizont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18" fillId="0" borderId="1" xfId="0" applyFont="1" applyFill="1" applyBorder="1"/>
    <xf numFmtId="0" fontId="0" fillId="0" borderId="1" xfId="0" applyFill="1" applyBorder="1"/>
    <xf numFmtId="0" fontId="0" fillId="0" borderId="1" xfId="0" applyBorder="1"/>
    <xf numFmtId="0" fontId="0" fillId="0" borderId="7" xfId="0" applyBorder="1"/>
    <xf numFmtId="0" fontId="40" fillId="0" borderId="1" xfId="0" applyFont="1" applyFill="1" applyBorder="1" applyAlignment="1">
      <alignment horizontal="center" vertical="center" wrapText="1"/>
    </xf>
    <xf numFmtId="0" fontId="135" fillId="2" borderId="4" xfId="0" applyFont="1" applyFill="1" applyBorder="1" applyAlignment="1">
      <alignment horizontal="left" vertical="top" wrapText="1" shrinkToFit="1"/>
    </xf>
    <xf numFmtId="0" fontId="135" fillId="2" borderId="7" xfId="0" applyFont="1" applyFill="1" applyBorder="1" applyAlignment="1">
      <alignment horizontal="left" vertical="top" wrapText="1" shrinkToFit="1"/>
    </xf>
    <xf numFmtId="0" fontId="135" fillId="2" borderId="6" xfId="0" applyFont="1" applyFill="1" applyBorder="1" applyAlignment="1">
      <alignment horizontal="left" vertical="top" wrapText="1" shrinkToFit="1"/>
    </xf>
    <xf numFmtId="49" fontId="14" fillId="0" borderId="4" xfId="0" applyNumberFormat="1" applyFont="1" applyFill="1" applyBorder="1" applyAlignment="1">
      <alignment horizontal="center" vertical="top"/>
    </xf>
    <xf numFmtId="49" fontId="14" fillId="0" borderId="6" xfId="0" applyNumberFormat="1" applyFont="1" applyFill="1" applyBorder="1" applyAlignment="1">
      <alignment horizontal="center" vertical="top"/>
    </xf>
    <xf numFmtId="49" fontId="135" fillId="0" borderId="4" xfId="0" applyNumberFormat="1" applyFont="1" applyFill="1" applyBorder="1" applyAlignment="1">
      <alignment horizontal="center" vertical="top" wrapText="1" shrinkToFit="1"/>
    </xf>
    <xf numFmtId="49" fontId="135" fillId="0" borderId="6" xfId="0" applyNumberFormat="1" applyFont="1" applyFill="1" applyBorder="1" applyAlignment="1">
      <alignment horizontal="center" vertical="top" wrapText="1" shrinkToFit="1"/>
    </xf>
    <xf numFmtId="0" fontId="14" fillId="2" borderId="4" xfId="0" applyFont="1" applyFill="1" applyBorder="1" applyAlignment="1">
      <alignment horizontal="left" vertical="top" wrapText="1" shrinkToFit="1"/>
    </xf>
    <xf numFmtId="0" fontId="14" fillId="2" borderId="6" xfId="0" applyFont="1" applyFill="1" applyBorder="1" applyAlignment="1">
      <alignment horizontal="left" vertical="top" wrapText="1" shrinkToFit="1"/>
    </xf>
    <xf numFmtId="0" fontId="135" fillId="0" borderId="4" xfId="0" applyFont="1" applyFill="1" applyBorder="1" applyAlignment="1">
      <alignment horizontal="center" vertical="top" wrapText="1" shrinkToFit="1"/>
    </xf>
    <xf numFmtId="0" fontId="135" fillId="0" borderId="6" xfId="0" applyFont="1" applyFill="1" applyBorder="1" applyAlignment="1">
      <alignment horizontal="center" vertical="top" wrapText="1" shrinkToFit="1"/>
    </xf>
    <xf numFmtId="0" fontId="14" fillId="0" borderId="4" xfId="0" applyFont="1" applyFill="1" applyBorder="1" applyAlignment="1">
      <alignment horizontal="center" vertical="top" wrapText="1" shrinkToFit="1"/>
    </xf>
    <xf numFmtId="0" fontId="14" fillId="0" borderId="7" xfId="0" applyFont="1" applyFill="1" applyBorder="1" applyAlignment="1">
      <alignment horizontal="center" vertical="top" wrapText="1" shrinkToFit="1"/>
    </xf>
    <xf numFmtId="0" fontId="14" fillId="0" borderId="6" xfId="0" applyFont="1" applyFill="1" applyBorder="1" applyAlignment="1">
      <alignment horizontal="center" vertical="top" wrapText="1" shrinkToFit="1"/>
    </xf>
    <xf numFmtId="49" fontId="135" fillId="0" borderId="7" xfId="0" applyNumberFormat="1" applyFont="1" applyFill="1" applyBorder="1" applyAlignment="1">
      <alignment horizontal="center" vertical="top" wrapText="1" shrinkToFit="1"/>
    </xf>
    <xf numFmtId="0" fontId="135" fillId="0" borderId="4" xfId="0" applyFont="1" applyFill="1" applyBorder="1" applyAlignment="1">
      <alignment horizontal="left" vertical="top" wrapText="1" shrinkToFit="1"/>
    </xf>
    <xf numFmtId="0" fontId="135" fillId="0" borderId="7" xfId="0" applyFont="1" applyFill="1" applyBorder="1" applyAlignment="1">
      <alignment horizontal="left" vertical="top" wrapText="1" shrinkToFit="1"/>
    </xf>
    <xf numFmtId="0" fontId="135" fillId="0" borderId="6" xfId="0" applyFont="1" applyFill="1" applyBorder="1" applyAlignment="1">
      <alignment horizontal="left" vertical="top" wrapText="1" shrinkToFit="1"/>
    </xf>
    <xf numFmtId="0" fontId="12" fillId="0" borderId="0" xfId="0" applyFont="1" applyAlignment="1">
      <alignment horizontal="center"/>
    </xf>
    <xf numFmtId="49" fontId="14" fillId="0" borderId="4" xfId="0" applyNumberFormat="1" applyFont="1" applyFill="1" applyBorder="1" applyAlignment="1">
      <alignment horizontal="center" vertical="top" wrapText="1"/>
    </xf>
    <xf numFmtId="49" fontId="14" fillId="0" borderId="6" xfId="0" applyNumberFormat="1" applyFont="1" applyFill="1" applyBorder="1" applyAlignment="1">
      <alignment horizontal="center" vertical="top" wrapText="1"/>
    </xf>
    <xf numFmtId="49" fontId="22" fillId="0" borderId="4" xfId="0" applyNumberFormat="1" applyFont="1" applyFill="1" applyBorder="1" applyAlignment="1">
      <alignment horizontal="center" vertical="top"/>
    </xf>
    <xf numFmtId="49" fontId="22" fillId="0" borderId="6" xfId="0" applyNumberFormat="1" applyFont="1" applyFill="1" applyBorder="1" applyAlignment="1">
      <alignment horizontal="center" vertical="top"/>
    </xf>
    <xf numFmtId="0" fontId="22" fillId="0" borderId="4" xfId="0" applyFont="1" applyFill="1" applyBorder="1" applyAlignment="1">
      <alignment horizontal="left" vertical="top" wrapText="1" shrinkToFit="1"/>
    </xf>
    <xf numFmtId="0" fontId="22" fillId="0" borderId="6" xfId="0" applyFont="1" applyFill="1" applyBorder="1" applyAlignment="1">
      <alignment horizontal="left" vertical="top" wrapText="1" shrinkToFit="1"/>
    </xf>
    <xf numFmtId="49" fontId="14" fillId="0" borderId="7" xfId="0" applyNumberFormat="1" applyFont="1" applyFill="1" applyBorder="1" applyAlignment="1">
      <alignment horizontal="center" vertical="top"/>
    </xf>
    <xf numFmtId="0" fontId="14" fillId="0" borderId="4" xfId="0" applyFont="1" applyFill="1" applyBorder="1" applyAlignment="1">
      <alignment horizontal="left" vertical="top" wrapText="1" shrinkToFit="1"/>
    </xf>
    <xf numFmtId="0" fontId="14" fillId="0" borderId="6" xfId="0" applyFont="1" applyFill="1" applyBorder="1" applyAlignment="1">
      <alignment horizontal="left" vertical="top" wrapText="1" shrinkToFit="1"/>
    </xf>
    <xf numFmtId="0" fontId="14" fillId="0" borderId="7" xfId="0" applyFont="1" applyFill="1" applyBorder="1" applyAlignment="1">
      <alignment horizontal="left" vertical="top" wrapText="1" shrinkToFit="1"/>
    </xf>
    <xf numFmtId="0" fontId="14" fillId="0" borderId="4" xfId="0" applyFont="1" applyBorder="1" applyAlignment="1">
      <alignment horizontal="center" vertical="top" wrapText="1"/>
    </xf>
    <xf numFmtId="0" fontId="14" fillId="0" borderId="7" xfId="0" applyFont="1" applyBorder="1" applyAlignment="1">
      <alignment horizontal="center" vertical="top"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6" xfId="0" applyFont="1" applyBorder="1" applyAlignment="1">
      <alignment horizontal="left" vertical="top" wrapText="1"/>
    </xf>
    <xf numFmtId="0" fontId="14" fillId="0" borderId="5" xfId="0" applyFont="1" applyFill="1" applyBorder="1" applyAlignment="1">
      <alignment horizontal="center" vertical="top" wrapText="1"/>
    </xf>
    <xf numFmtId="0" fontId="14" fillId="0" borderId="10" xfId="0" applyFont="1" applyFill="1" applyBorder="1" applyAlignment="1">
      <alignment horizontal="center" vertical="top" wrapText="1"/>
    </xf>
    <xf numFmtId="0" fontId="32" fillId="0" borderId="0" xfId="0" applyFont="1" applyFill="1" applyAlignment="1">
      <alignment horizontal="center"/>
    </xf>
    <xf numFmtId="0" fontId="12" fillId="2" borderId="0" xfId="0" applyFont="1" applyFill="1" applyAlignment="1">
      <alignment horizontal="center" wrapText="1"/>
    </xf>
  </cellXfs>
  <cellStyles count="16">
    <cellStyle name="Normal_Доходи" xfId="1"/>
    <cellStyle name="Звичайний 2" xfId="2"/>
    <cellStyle name="Звичайний 3" xfId="3"/>
    <cellStyle name="Обычный" xfId="0" builtinId="0"/>
    <cellStyle name="Обычный 3" xfId="4"/>
    <cellStyle name="Обычный_dodатки_2015_вересень" xfId="5"/>
    <cellStyle name="Обычный_дод_ріш_бт2017" xfId="6"/>
    <cellStyle name="Обычный_Лист1" xfId="7"/>
    <cellStyle name="Обычный_Наборка ІІ кошик_2010" xfId="8"/>
    <cellStyle name="Обычный_Сеся 28.05.15" xfId="9"/>
    <cellStyle name="Обычный_Сеся15.08.08" xfId="10"/>
    <cellStyle name="Обычный_Сеся15.08.08 2" xfId="11"/>
    <cellStyle name="Стиль 1" xfId="12"/>
    <cellStyle name="Финансовый" xfId="15" builtinId="3"/>
    <cellStyle name="Финансовый 2" xfId="13"/>
    <cellStyle name="Финансовый_Richenai_21.12.2017(260718)" xfId="14"/>
  </cellStyles>
  <dxfs count="1">
    <dxf>
      <fill>
        <patternFill patternType="solid">
          <fgColor rgb="FF963634"/>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882855" name="Line 1">
          <a:extLst>
            <a:ext uri="{FF2B5EF4-FFF2-40B4-BE49-F238E27FC236}">
              <a16:creationId xmlns:a16="http://schemas.microsoft.com/office/drawing/2014/main" id="{1C6BD064-78A5-4EE5-97C0-3D15F0FC940B}"/>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82856" name="Line 2">
          <a:extLst>
            <a:ext uri="{FF2B5EF4-FFF2-40B4-BE49-F238E27FC236}">
              <a16:creationId xmlns:a16="http://schemas.microsoft.com/office/drawing/2014/main" id="{D2CC8BF6-6237-4C1A-B375-DB2D9D9C1F02}"/>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82857" name="Line 3">
          <a:extLst>
            <a:ext uri="{FF2B5EF4-FFF2-40B4-BE49-F238E27FC236}">
              <a16:creationId xmlns:a16="http://schemas.microsoft.com/office/drawing/2014/main" id="{2E7B25A8-8DCD-407D-AAEC-9B1CEC068A0D}"/>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82858" name="Line 4">
          <a:extLst>
            <a:ext uri="{FF2B5EF4-FFF2-40B4-BE49-F238E27FC236}">
              <a16:creationId xmlns:a16="http://schemas.microsoft.com/office/drawing/2014/main" id="{0D4A5E10-12DF-4254-B67E-CD7BE6504A1B}"/>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82859" name="Line 5">
          <a:extLst>
            <a:ext uri="{FF2B5EF4-FFF2-40B4-BE49-F238E27FC236}">
              <a16:creationId xmlns:a16="http://schemas.microsoft.com/office/drawing/2014/main" id="{CE564A09-D8B5-48EA-91DF-A144F7DAE310}"/>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82860" name="Line 6">
          <a:extLst>
            <a:ext uri="{FF2B5EF4-FFF2-40B4-BE49-F238E27FC236}">
              <a16:creationId xmlns:a16="http://schemas.microsoft.com/office/drawing/2014/main" id="{C1428289-31F1-4396-B640-D203AC1BCA83}"/>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82861" name="Line 7">
          <a:extLst>
            <a:ext uri="{FF2B5EF4-FFF2-40B4-BE49-F238E27FC236}">
              <a16:creationId xmlns:a16="http://schemas.microsoft.com/office/drawing/2014/main" id="{64F89EC3-308F-4D70-A09B-92AF55B009D5}"/>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82862" name="Line 8">
          <a:extLst>
            <a:ext uri="{FF2B5EF4-FFF2-40B4-BE49-F238E27FC236}">
              <a16:creationId xmlns:a16="http://schemas.microsoft.com/office/drawing/2014/main" id="{B0625E57-A643-4082-AA09-3D1F6F59E54C}"/>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82863" name="Line 9">
          <a:extLst>
            <a:ext uri="{FF2B5EF4-FFF2-40B4-BE49-F238E27FC236}">
              <a16:creationId xmlns:a16="http://schemas.microsoft.com/office/drawing/2014/main" id="{07348304-DA5D-4956-9810-BBF660D27243}"/>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82864" name="Line 10">
          <a:extLst>
            <a:ext uri="{FF2B5EF4-FFF2-40B4-BE49-F238E27FC236}">
              <a16:creationId xmlns:a16="http://schemas.microsoft.com/office/drawing/2014/main" id="{655C3EEE-5F3D-449D-8969-5459569EDC22}"/>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82865" name="Line 11">
          <a:extLst>
            <a:ext uri="{FF2B5EF4-FFF2-40B4-BE49-F238E27FC236}">
              <a16:creationId xmlns:a16="http://schemas.microsoft.com/office/drawing/2014/main" id="{9D5F6EDA-3C0B-4852-83A0-1744041B9AF5}"/>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82866" name="Line 12">
          <a:extLst>
            <a:ext uri="{FF2B5EF4-FFF2-40B4-BE49-F238E27FC236}">
              <a16:creationId xmlns:a16="http://schemas.microsoft.com/office/drawing/2014/main" id="{5A4931C5-0757-49F7-85C3-769526FD7596}"/>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82867" name="Line 13">
          <a:extLst>
            <a:ext uri="{FF2B5EF4-FFF2-40B4-BE49-F238E27FC236}">
              <a16:creationId xmlns:a16="http://schemas.microsoft.com/office/drawing/2014/main" id="{16151B3E-D303-429A-8633-70F685263EEA}"/>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82868" name="Line 14">
          <a:extLst>
            <a:ext uri="{FF2B5EF4-FFF2-40B4-BE49-F238E27FC236}">
              <a16:creationId xmlns:a16="http://schemas.microsoft.com/office/drawing/2014/main" id="{E1A5B2BE-E441-43AF-8241-D1AED9051779}"/>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82869" name="Line 15">
          <a:extLst>
            <a:ext uri="{FF2B5EF4-FFF2-40B4-BE49-F238E27FC236}">
              <a16:creationId xmlns:a16="http://schemas.microsoft.com/office/drawing/2014/main" id="{3D61E93A-EE1D-4E0D-BEC8-506778E71544}"/>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82870" name="Line 16">
          <a:extLst>
            <a:ext uri="{FF2B5EF4-FFF2-40B4-BE49-F238E27FC236}">
              <a16:creationId xmlns:a16="http://schemas.microsoft.com/office/drawing/2014/main" id="{638B0D66-B76C-4D74-963D-01A70FC5997D}"/>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Bud\&#1053;&#1072;&#1090;&#1072;&#1096;&#1072;\&#1052;&#1086;&#1080;%20&#1076;&#1086;&#1082;&#1091;&#1084;&#1077;&#1085;&#1090;&#1080;\Sesii%20obl%20radu\2019\&#1057;&#1077;&#1089;&#1110;&#1103;%20&#1090;&#1088;&#1072;&#1074;&#1077;&#1085;&#1100;%202019\&#1055;&#1088;&#1086;%20&#1074;&#1085;&#1077;&#1089;&#1077;&#1085;&#1085;&#1103;%20&#1079;&#1084;&#1110;&#1085;%20&#1076;&#1086;%20&#1086;&#1073;&#1083;&#1072;&#1089;&#1085;&#1086;&#1075;&#1086;%20&#1073;&#1102;&#1076;&#1078;&#1077;&#1090;&#1091;%20&#1085;&#1072;%202019%20&#1088;&#1110;&#1082;\&#1055;&#1088;&#1086;&#1077;&#1082;&#1090;2\dod_1418_1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GIGABYTE\&#1056;&#1110;&#1096;&#1077;&#1085;&#1085;&#1103;%20&#1086;&#1073;&#1083;&#1072;&#1089;&#1085;&#1086;&#1111;%20&#1088;&#1072;&#1076;&#1080;%202019%20&#1088;&#1086;&#1082;&#1091;\&#1057;&#1077;&#1089;&#1110;&#1103;%2023.05.2019\dod_1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1"/>
      <sheetName val="дод1.1"/>
      <sheetName val="дод 1.2"/>
      <sheetName val="дод1.3нема"/>
      <sheetName val="дод1.4нема"/>
      <sheetName val="дод1.5нема"/>
      <sheetName val="дод1.6нема"/>
      <sheetName val="дод2"/>
      <sheetName val="дод3"/>
      <sheetName val="дод_4_без змін"/>
      <sheetName val="дод5"/>
      <sheetName val=" дод 5_1"/>
      <sheetName val="дод 5.2"/>
      <sheetName val="дод5.3"/>
      <sheetName val="дод6"/>
      <sheetName val="дод7"/>
      <sheetName val="Контроль"/>
      <sheetName val="джерела змін"/>
      <sheetName val="Інші субвенції_ГРК-ДФ,облрада"/>
      <sheetName val="Інші субвенції усі ГРК"/>
      <sheetName val="джерела змін  з наростаючи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81">
          <cell r="Q181">
            <v>0</v>
          </cell>
        </row>
        <row r="182">
          <cell r="Q182">
            <v>19397</v>
          </cell>
        </row>
        <row r="183">
          <cell r="Q183">
            <v>300000</v>
          </cell>
        </row>
        <row r="185">
          <cell r="Q185">
            <v>2442700</v>
          </cell>
        </row>
        <row r="186">
          <cell r="Q186">
            <v>7343595</v>
          </cell>
        </row>
        <row r="188">
          <cell r="Q188">
            <v>78218758</v>
          </cell>
        </row>
        <row r="190">
          <cell r="Q190">
            <v>128564537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1"/>
      <sheetName val="дод1.1"/>
      <sheetName val="дод 1.2"/>
      <sheetName val="дод1.3нема"/>
      <sheetName val="дод1.4нема"/>
      <sheetName val="дод1.5нема"/>
      <sheetName val="дод1.6нема"/>
      <sheetName val="дод2"/>
      <sheetName val="дод3"/>
      <sheetName val="дод_4_без змін"/>
      <sheetName val="дод5"/>
      <sheetName val=" дод 5_1"/>
      <sheetName val="дод 5.2"/>
      <sheetName val="дод5.3"/>
      <sheetName val="дод6"/>
      <sheetName val="дод7"/>
      <sheetName val="Контроль"/>
      <sheetName val="джерела змін"/>
      <sheetName val="Інші субвенції_ГРК-ДФ,облрада"/>
      <sheetName val="Інші субвенції усі ГРК"/>
      <sheetName val="джерела змін  з наростаючим"/>
    </sheetNames>
    <sheetDataSet>
      <sheetData sheetId="0"/>
      <sheetData sheetId="1"/>
      <sheetData sheetId="2"/>
      <sheetData sheetId="3"/>
      <sheetData sheetId="4"/>
      <sheetData sheetId="5"/>
      <sheetData sheetId="6"/>
      <sheetData sheetId="7"/>
      <sheetData sheetId="8">
        <row r="23">
          <cell r="J23">
            <v>5968890</v>
          </cell>
        </row>
        <row r="24">
          <cell r="E24">
            <v>376312</v>
          </cell>
          <cell r="J24">
            <v>31998</v>
          </cell>
        </row>
      </sheetData>
      <sheetData sheetId="9"/>
      <sheetData sheetId="10"/>
      <sheetData sheetId="11"/>
      <sheetData sheetId="12"/>
      <sheetData sheetId="13">
        <row r="8">
          <cell r="D8">
            <v>376312</v>
          </cell>
          <cell r="E8">
            <v>31998</v>
          </cell>
        </row>
      </sheetData>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filterMode="1"/>
  <dimension ref="A1:AR207"/>
  <sheetViews>
    <sheetView showZeros="0" view="pageBreakPreview" zoomScale="60" zoomScaleNormal="75" workbookViewId="0">
      <pane xSplit="2" ySplit="8" topLeftCell="C147" activePane="bottomRight" state="frozen"/>
      <selection pane="topRight" activeCell="C1" sqref="C1"/>
      <selection pane="bottomLeft" activeCell="A10" sqref="A10"/>
      <selection pane="bottomRight" activeCell="G228" sqref="G228"/>
    </sheetView>
  </sheetViews>
  <sheetFormatPr defaultColWidth="8.7109375" defaultRowHeight="12.75"/>
  <cols>
    <col min="1" max="1" width="10.85546875" style="123" customWidth="1"/>
    <col min="2" max="2" width="69.28515625" style="123" customWidth="1"/>
    <col min="3" max="3" width="18.85546875" style="123" customWidth="1"/>
    <col min="4" max="4" width="18.7109375" style="123" customWidth="1"/>
    <col min="5" max="5" width="17.85546875" style="123" customWidth="1"/>
    <col min="6" max="6" width="16" style="123" customWidth="1"/>
    <col min="7" max="7" width="48.5703125" style="123" customWidth="1"/>
    <col min="8" max="16384" width="8.7109375" style="123"/>
  </cols>
  <sheetData>
    <row r="1" spans="1:44" ht="20.25" customHeight="1">
      <c r="A1" s="121"/>
      <c r="B1" s="121"/>
      <c r="C1" s="121"/>
      <c r="D1" s="122" t="s">
        <v>75</v>
      </c>
      <c r="F1" s="122"/>
      <c r="G1" s="124">
        <v>1</v>
      </c>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row>
    <row r="2" spans="1:44" ht="18" customHeight="1">
      <c r="A2" s="125"/>
      <c r="B2" s="125"/>
      <c r="C2" s="125"/>
      <c r="D2" s="122" t="s">
        <v>368</v>
      </c>
      <c r="F2" s="122"/>
      <c r="G2" s="1428">
        <v>1</v>
      </c>
      <c r="H2" s="1428"/>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row>
    <row r="3" spans="1:44" ht="18.75">
      <c r="A3" s="125"/>
      <c r="B3" s="125"/>
      <c r="C3" s="125"/>
      <c r="D3" s="605" t="s">
        <v>2152</v>
      </c>
      <c r="F3" s="122"/>
      <c r="G3" s="1428">
        <v>1</v>
      </c>
      <c r="H3" s="1428"/>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row>
    <row r="4" spans="1:44" ht="20.25">
      <c r="A4" s="1550" t="s">
        <v>957</v>
      </c>
      <c r="B4" s="1550"/>
      <c r="C4" s="1550"/>
      <c r="D4" s="1550"/>
      <c r="E4" s="1550"/>
      <c r="F4" s="126"/>
      <c r="G4" s="1428">
        <v>1</v>
      </c>
      <c r="H4" s="1428"/>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row>
    <row r="5" spans="1:44" ht="16.5">
      <c r="A5" s="127" t="s">
        <v>108</v>
      </c>
      <c r="B5" s="128" t="s">
        <v>109</v>
      </c>
      <c r="C5" s="128"/>
      <c r="D5" s="128"/>
      <c r="E5" s="128"/>
      <c r="F5" s="128" t="s">
        <v>982</v>
      </c>
      <c r="G5" s="1428">
        <v>1</v>
      </c>
      <c r="H5" s="1428"/>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row>
    <row r="6" spans="1:44" ht="14.25" customHeight="1">
      <c r="A6" s="1551" t="s">
        <v>151</v>
      </c>
      <c r="B6" s="1549" t="s">
        <v>983</v>
      </c>
      <c r="C6" s="1549" t="s">
        <v>984</v>
      </c>
      <c r="D6" s="1549" t="s">
        <v>64</v>
      </c>
      <c r="E6" s="1549" t="s">
        <v>65</v>
      </c>
      <c r="F6" s="1549"/>
      <c r="G6" s="1428">
        <v>1</v>
      </c>
      <c r="H6" s="1428"/>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row>
    <row r="7" spans="1:44" ht="53.45" customHeight="1">
      <c r="A7" s="1552"/>
      <c r="B7" s="1549"/>
      <c r="C7" s="1549"/>
      <c r="D7" s="1549"/>
      <c r="E7" s="983" t="s">
        <v>984</v>
      </c>
      <c r="F7" s="983" t="s">
        <v>992</v>
      </c>
      <c r="G7" s="1428">
        <v>1</v>
      </c>
      <c r="H7" s="1428"/>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row>
    <row r="8" spans="1:44" ht="13.5" customHeight="1">
      <c r="A8" s="129">
        <v>1</v>
      </c>
      <c r="B8" s="129">
        <v>2</v>
      </c>
      <c r="C8" s="129">
        <v>3</v>
      </c>
      <c r="D8" s="129">
        <v>4</v>
      </c>
      <c r="E8" s="129">
        <v>5</v>
      </c>
      <c r="F8" s="129">
        <v>6</v>
      </c>
      <c r="G8" s="1428">
        <v>1</v>
      </c>
      <c r="H8" s="1428"/>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row>
    <row r="9" spans="1:44" ht="15.75">
      <c r="A9" s="130">
        <v>10000000</v>
      </c>
      <c r="B9" s="130" t="s">
        <v>87</v>
      </c>
      <c r="C9" s="131">
        <f t="shared" ref="C9:C17" si="0">E9+D9</f>
        <v>1030661000</v>
      </c>
      <c r="D9" s="131">
        <f>SUM(D10+D24+D28+D40)</f>
        <v>1024931000</v>
      </c>
      <c r="E9" s="131">
        <f>SUM(E10+E24+E28+E40)</f>
        <v>5730000</v>
      </c>
      <c r="F9" s="131">
        <f>SUM(F10+F24+F28+F40)</f>
        <v>0</v>
      </c>
      <c r="G9" s="1429">
        <f>SUM(C9:F9)</f>
        <v>2061322000</v>
      </c>
      <c r="H9" s="1428"/>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row>
    <row r="10" spans="1:44" ht="31.5">
      <c r="A10" s="130">
        <v>11000000</v>
      </c>
      <c r="B10" s="132" t="s">
        <v>88</v>
      </c>
      <c r="C10" s="131">
        <f t="shared" si="0"/>
        <v>980201000</v>
      </c>
      <c r="D10" s="131">
        <f>SUM(D11+D18)</f>
        <v>980201000</v>
      </c>
      <c r="E10" s="131"/>
      <c r="F10" s="131">
        <v>0</v>
      </c>
      <c r="G10" s="1429">
        <f t="shared" ref="G10:G73" si="1">SUM(C10:F10)</f>
        <v>1960402000</v>
      </c>
      <c r="H10" s="1428"/>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row>
    <row r="11" spans="1:44" s="137" customFormat="1" ht="20.25" customHeight="1">
      <c r="A11" s="133">
        <v>11010000</v>
      </c>
      <c r="B11" s="134" t="s">
        <v>89</v>
      </c>
      <c r="C11" s="135">
        <f t="shared" si="0"/>
        <v>920263000</v>
      </c>
      <c r="D11" s="135">
        <f>SUM(D12:D17)</f>
        <v>920263000</v>
      </c>
      <c r="E11" s="135">
        <f>SUM(E12:E17)</f>
        <v>0</v>
      </c>
      <c r="F11" s="135">
        <f>SUM(F12:F17)</f>
        <v>0</v>
      </c>
      <c r="G11" s="1429">
        <f t="shared" si="1"/>
        <v>1840526000</v>
      </c>
      <c r="H11" s="1430"/>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row>
    <row r="12" spans="1:44" ht="31.5">
      <c r="A12" s="138">
        <v>11010100</v>
      </c>
      <c r="B12" s="139" t="s">
        <v>53</v>
      </c>
      <c r="C12" s="140">
        <f t="shared" si="0"/>
        <v>778763000</v>
      </c>
      <c r="D12" s="140">
        <v>778763000</v>
      </c>
      <c r="E12" s="131"/>
      <c r="F12" s="131"/>
      <c r="G12" s="1429">
        <f t="shared" si="1"/>
        <v>1557526000</v>
      </c>
      <c r="H12" s="1428"/>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row>
    <row r="13" spans="1:44" ht="66.75" customHeight="1">
      <c r="A13" s="138">
        <v>11010200</v>
      </c>
      <c r="B13" s="139" t="s">
        <v>331</v>
      </c>
      <c r="C13" s="140">
        <f t="shared" si="0"/>
        <v>88000000</v>
      </c>
      <c r="D13" s="140">
        <v>88000000</v>
      </c>
      <c r="E13" s="131"/>
      <c r="F13" s="131"/>
      <c r="G13" s="1429">
        <f t="shared" si="1"/>
        <v>176000000</v>
      </c>
      <c r="H13" s="1428"/>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row>
    <row r="14" spans="1:44" ht="31.5">
      <c r="A14" s="138">
        <v>11010400</v>
      </c>
      <c r="B14" s="139" t="s">
        <v>332</v>
      </c>
      <c r="C14" s="140">
        <f t="shared" si="0"/>
        <v>45000000</v>
      </c>
      <c r="D14" s="140">
        <v>45000000</v>
      </c>
      <c r="E14" s="131"/>
      <c r="F14" s="131"/>
      <c r="G14" s="1429">
        <f t="shared" si="1"/>
        <v>90000000</v>
      </c>
      <c r="H14" s="1428"/>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row>
    <row r="15" spans="1:44" ht="31.5">
      <c r="A15" s="138">
        <v>11010500</v>
      </c>
      <c r="B15" s="139" t="s">
        <v>333</v>
      </c>
      <c r="C15" s="140">
        <f t="shared" si="0"/>
        <v>8500000</v>
      </c>
      <c r="D15" s="140">
        <v>8500000</v>
      </c>
      <c r="E15" s="131"/>
      <c r="F15" s="131"/>
      <c r="G15" s="1429">
        <f t="shared" si="1"/>
        <v>17000000</v>
      </c>
      <c r="H15" s="1428"/>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row>
    <row r="16" spans="1:44" ht="62.25" hidden="1" customHeight="1">
      <c r="A16" s="138">
        <v>11010900</v>
      </c>
      <c r="B16" s="139" t="s">
        <v>190</v>
      </c>
      <c r="C16" s="140">
        <f t="shared" si="0"/>
        <v>0</v>
      </c>
      <c r="D16" s="140"/>
      <c r="E16" s="131"/>
      <c r="F16" s="131"/>
      <c r="G16" s="154">
        <f t="shared" si="1"/>
        <v>0</v>
      </c>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row>
    <row r="17" spans="1:44" ht="31.5" hidden="1">
      <c r="A17" s="138">
        <v>11011600</v>
      </c>
      <c r="B17" s="139" t="s">
        <v>2</v>
      </c>
      <c r="C17" s="140">
        <f t="shared" si="0"/>
        <v>0</v>
      </c>
      <c r="D17" s="140"/>
      <c r="E17" s="131"/>
      <c r="F17" s="131"/>
      <c r="G17" s="154">
        <f t="shared" si="1"/>
        <v>0</v>
      </c>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row>
    <row r="18" spans="1:44" s="137" customFormat="1" ht="18.75" customHeight="1">
      <c r="A18" s="133">
        <v>11020000</v>
      </c>
      <c r="B18" s="141" t="s">
        <v>3</v>
      </c>
      <c r="C18" s="135">
        <f>SUM(C19:C22)</f>
        <v>59938000</v>
      </c>
      <c r="D18" s="135">
        <f>SUM(D19:D22)</f>
        <v>59938000</v>
      </c>
      <c r="E18" s="135">
        <f>SUM(E19:E22)</f>
        <v>0</v>
      </c>
      <c r="F18" s="135">
        <f>SUM(F19:F22)</f>
        <v>0</v>
      </c>
      <c r="G18" s="1429">
        <f t="shared" si="1"/>
        <v>119876000</v>
      </c>
      <c r="H18" s="1430"/>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row>
    <row r="19" spans="1:44" ht="31.5">
      <c r="A19" s="129">
        <v>11020200</v>
      </c>
      <c r="B19" s="142" t="s">
        <v>200</v>
      </c>
      <c r="C19" s="140">
        <f>E19+D19</f>
        <v>4438000</v>
      </c>
      <c r="D19" s="140">
        <v>4438000</v>
      </c>
      <c r="E19" s="140"/>
      <c r="F19" s="140"/>
      <c r="G19" s="1429">
        <f t="shared" si="1"/>
        <v>8876000</v>
      </c>
      <c r="H19" s="1428"/>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row>
    <row r="20" spans="1:44" ht="15.75">
      <c r="A20" s="129">
        <v>11021000</v>
      </c>
      <c r="B20" s="142" t="s">
        <v>201</v>
      </c>
      <c r="C20" s="140">
        <f>E20+D20</f>
        <v>55500000</v>
      </c>
      <c r="D20" s="140">
        <v>55500000</v>
      </c>
      <c r="E20" s="140"/>
      <c r="F20" s="140"/>
      <c r="G20" s="1429">
        <f t="shared" si="1"/>
        <v>111000000</v>
      </c>
      <c r="H20" s="1428"/>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row>
    <row r="21" spans="1:44" ht="31.5" hidden="1">
      <c r="A21" s="129">
        <v>11023200</v>
      </c>
      <c r="B21" s="142" t="s">
        <v>202</v>
      </c>
      <c r="C21" s="140">
        <f>E21+D21</f>
        <v>0</v>
      </c>
      <c r="D21" s="140"/>
      <c r="E21" s="140"/>
      <c r="F21" s="140"/>
      <c r="G21" s="154">
        <f t="shared" si="1"/>
        <v>0</v>
      </c>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row>
    <row r="22" spans="1:44" ht="15.75" hidden="1">
      <c r="A22" s="129">
        <v>11024000</v>
      </c>
      <c r="B22" s="142" t="s">
        <v>183</v>
      </c>
      <c r="C22" s="140">
        <f>E22+D22</f>
        <v>0</v>
      </c>
      <c r="D22" s="140"/>
      <c r="E22" s="140"/>
      <c r="F22" s="140"/>
      <c r="G22" s="154">
        <f t="shared" si="1"/>
        <v>0</v>
      </c>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row>
    <row r="23" spans="1:44" ht="15.75" hidden="1">
      <c r="A23" s="129"/>
      <c r="B23" s="142"/>
      <c r="C23" s="140"/>
      <c r="D23" s="140"/>
      <c r="E23" s="140"/>
      <c r="F23" s="140"/>
      <c r="G23" s="154">
        <f t="shared" si="1"/>
        <v>0</v>
      </c>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row>
    <row r="24" spans="1:44" ht="18" hidden="1" customHeight="1">
      <c r="A24" s="130">
        <v>12000000</v>
      </c>
      <c r="B24" s="143" t="s">
        <v>184</v>
      </c>
      <c r="C24" s="131">
        <f t="shared" ref="C24:C30" si="2">E24+D24</f>
        <v>0</v>
      </c>
      <c r="D24" s="131"/>
      <c r="E24" s="131">
        <f>+E25</f>
        <v>0</v>
      </c>
      <c r="F24" s="131">
        <f>+F25</f>
        <v>0</v>
      </c>
      <c r="G24" s="154">
        <f t="shared" si="1"/>
        <v>0</v>
      </c>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row>
    <row r="25" spans="1:44" s="145" customFormat="1" ht="15.75" hidden="1">
      <c r="A25" s="133">
        <v>12030000</v>
      </c>
      <c r="B25" s="141" t="s">
        <v>113</v>
      </c>
      <c r="C25" s="135">
        <f t="shared" si="2"/>
        <v>0</v>
      </c>
      <c r="D25" s="135"/>
      <c r="E25" s="135">
        <f>SUM(E26:E27)</f>
        <v>0</v>
      </c>
      <c r="F25" s="135"/>
      <c r="G25" s="154">
        <f t="shared" si="1"/>
        <v>0</v>
      </c>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row>
    <row r="26" spans="1:44" ht="31.5" hidden="1">
      <c r="A26" s="129">
        <v>12030100</v>
      </c>
      <c r="B26" s="139" t="s">
        <v>114</v>
      </c>
      <c r="C26" s="140">
        <f t="shared" si="2"/>
        <v>0</v>
      </c>
      <c r="D26" s="140"/>
      <c r="E26" s="140"/>
      <c r="F26" s="140"/>
      <c r="G26" s="154">
        <f t="shared" si="1"/>
        <v>0</v>
      </c>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row>
    <row r="27" spans="1:44" ht="31.5" hidden="1">
      <c r="A27" s="129">
        <v>12030200</v>
      </c>
      <c r="B27" s="139" t="s">
        <v>115</v>
      </c>
      <c r="C27" s="140">
        <f t="shared" si="2"/>
        <v>0</v>
      </c>
      <c r="D27" s="140"/>
      <c r="E27" s="140"/>
      <c r="F27" s="140"/>
      <c r="G27" s="154">
        <f t="shared" si="1"/>
        <v>0</v>
      </c>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row>
    <row r="28" spans="1:44" ht="31.5">
      <c r="A28" s="130">
        <v>13000000</v>
      </c>
      <c r="B28" s="132" t="s">
        <v>116</v>
      </c>
      <c r="C28" s="131">
        <f t="shared" si="2"/>
        <v>44730000</v>
      </c>
      <c r="D28" s="131">
        <f>+D35+D31+D29+D38</f>
        <v>44730000</v>
      </c>
      <c r="E28" s="131">
        <f>+E35+E31+E29</f>
        <v>0</v>
      </c>
      <c r="F28" s="131">
        <f>+F35+F31+F29</f>
        <v>0</v>
      </c>
      <c r="G28" s="1429">
        <f t="shared" si="1"/>
        <v>89460000</v>
      </c>
      <c r="H28" s="1428"/>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row>
    <row r="29" spans="1:44" s="145" customFormat="1" ht="15.75" hidden="1">
      <c r="A29" s="133">
        <v>13010000</v>
      </c>
      <c r="B29" s="141" t="s">
        <v>117</v>
      </c>
      <c r="C29" s="135">
        <f t="shared" si="2"/>
        <v>0</v>
      </c>
      <c r="D29" s="135">
        <f>D30</f>
        <v>0</v>
      </c>
      <c r="E29" s="135">
        <f>E30</f>
        <v>0</v>
      </c>
      <c r="F29" s="135">
        <f>F30</f>
        <v>0</v>
      </c>
      <c r="G29" s="154">
        <f t="shared" si="1"/>
        <v>0</v>
      </c>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row>
    <row r="30" spans="1:44" ht="31.5" hidden="1">
      <c r="A30" s="129">
        <v>13010100</v>
      </c>
      <c r="B30" s="142" t="s">
        <v>118</v>
      </c>
      <c r="C30" s="140">
        <f t="shared" si="2"/>
        <v>0</v>
      </c>
      <c r="D30" s="140"/>
      <c r="E30" s="140"/>
      <c r="F30" s="140"/>
      <c r="G30" s="154">
        <f t="shared" si="1"/>
        <v>0</v>
      </c>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row>
    <row r="31" spans="1:44" s="145" customFormat="1" ht="15.75">
      <c r="A31" s="133">
        <v>13020000</v>
      </c>
      <c r="B31" s="141" t="s">
        <v>119</v>
      </c>
      <c r="C31" s="135">
        <f>+C32+C33+C34</f>
        <v>9000000</v>
      </c>
      <c r="D31" s="135">
        <f>+D32+D33+D34</f>
        <v>9000000</v>
      </c>
      <c r="E31" s="135">
        <f>+E32+E33+E34</f>
        <v>0</v>
      </c>
      <c r="F31" s="135">
        <f>+F32+F33+F34</f>
        <v>0</v>
      </c>
      <c r="G31" s="1429">
        <f t="shared" si="1"/>
        <v>18000000</v>
      </c>
      <c r="H31" s="1431"/>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row>
    <row r="32" spans="1:44" ht="33.75" customHeight="1">
      <c r="A32" s="129">
        <v>13020100</v>
      </c>
      <c r="B32" s="142" t="s">
        <v>37</v>
      </c>
      <c r="C32" s="140">
        <f t="shared" ref="C32:C37" si="3">E32+D32</f>
        <v>6700000</v>
      </c>
      <c r="D32" s="140">
        <v>6700000</v>
      </c>
      <c r="E32" s="140"/>
      <c r="F32" s="140"/>
      <c r="G32" s="1429">
        <f t="shared" si="1"/>
        <v>13400000</v>
      </c>
      <c r="H32" s="1428"/>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row>
    <row r="33" spans="1:44" ht="31.5">
      <c r="A33" s="129">
        <v>13020300</v>
      </c>
      <c r="B33" s="142" t="s">
        <v>38</v>
      </c>
      <c r="C33" s="140">
        <f t="shared" si="3"/>
        <v>400000</v>
      </c>
      <c r="D33" s="140">
        <v>400000</v>
      </c>
      <c r="E33" s="140"/>
      <c r="F33" s="140"/>
      <c r="G33" s="1429">
        <f t="shared" si="1"/>
        <v>800000</v>
      </c>
      <c r="H33" s="1428"/>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row>
    <row r="34" spans="1:44" ht="31.5">
      <c r="A34" s="129">
        <v>13020400</v>
      </c>
      <c r="B34" s="142" t="s">
        <v>357</v>
      </c>
      <c r="C34" s="140">
        <f t="shared" si="3"/>
        <v>1900000</v>
      </c>
      <c r="D34" s="140">
        <v>1900000</v>
      </c>
      <c r="E34" s="140"/>
      <c r="F34" s="140"/>
      <c r="G34" s="1429">
        <f t="shared" si="1"/>
        <v>3800000</v>
      </c>
      <c r="H34" s="1428"/>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row>
    <row r="35" spans="1:44" s="145" customFormat="1" ht="15.75">
      <c r="A35" s="133">
        <v>13030000</v>
      </c>
      <c r="B35" s="141" t="s">
        <v>323</v>
      </c>
      <c r="C35" s="135">
        <f t="shared" si="3"/>
        <v>35730000</v>
      </c>
      <c r="D35" s="135">
        <f>D36+D37</f>
        <v>35730000</v>
      </c>
      <c r="E35" s="135">
        <f>E36+E37</f>
        <v>0</v>
      </c>
      <c r="F35" s="135">
        <f>F36+F37</f>
        <v>0</v>
      </c>
      <c r="G35" s="1429">
        <f t="shared" si="1"/>
        <v>71460000</v>
      </c>
      <c r="H35" s="1431"/>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row>
    <row r="36" spans="1:44" ht="31.5">
      <c r="A36" s="129">
        <v>13030100</v>
      </c>
      <c r="B36" s="142" t="s">
        <v>260</v>
      </c>
      <c r="C36" s="140">
        <f t="shared" si="3"/>
        <v>35730000</v>
      </c>
      <c r="D36" s="140">
        <v>35730000</v>
      </c>
      <c r="E36" s="140"/>
      <c r="F36" s="140"/>
      <c r="G36" s="1429">
        <f t="shared" si="1"/>
        <v>71460000</v>
      </c>
      <c r="H36" s="1428"/>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row>
    <row r="37" spans="1:44" ht="31.5" hidden="1">
      <c r="A37" s="129">
        <v>13030200</v>
      </c>
      <c r="B37" s="139" t="s">
        <v>34</v>
      </c>
      <c r="C37" s="140">
        <f t="shared" si="3"/>
        <v>0</v>
      </c>
      <c r="D37" s="140"/>
      <c r="E37" s="131"/>
      <c r="F37" s="131"/>
      <c r="G37" s="154">
        <f t="shared" si="1"/>
        <v>0</v>
      </c>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row>
    <row r="38" spans="1:44" s="145" customFormat="1" ht="15.75" hidden="1">
      <c r="A38" s="133">
        <v>13070000</v>
      </c>
      <c r="B38" s="141" t="s">
        <v>193</v>
      </c>
      <c r="C38" s="135">
        <f>C39</f>
        <v>0</v>
      </c>
      <c r="D38" s="135">
        <f>D39</f>
        <v>0</v>
      </c>
      <c r="E38" s="135"/>
      <c r="F38" s="135"/>
      <c r="G38" s="154">
        <f t="shared" si="1"/>
        <v>0</v>
      </c>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row>
    <row r="39" spans="1:44" ht="15.75" hidden="1">
      <c r="A39" s="129">
        <v>13070100</v>
      </c>
      <c r="B39" s="139" t="s">
        <v>194</v>
      </c>
      <c r="C39" s="140">
        <f>E39+D39</f>
        <v>0</v>
      </c>
      <c r="D39" s="140"/>
      <c r="E39" s="131"/>
      <c r="F39" s="131"/>
      <c r="G39" s="154">
        <f t="shared" si="1"/>
        <v>0</v>
      </c>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row>
    <row r="40" spans="1:44" s="148" customFormat="1" ht="15.75">
      <c r="A40" s="130">
        <v>19000000</v>
      </c>
      <c r="B40" s="146" t="s">
        <v>35</v>
      </c>
      <c r="C40" s="131">
        <f>C41+C46</f>
        <v>5730000</v>
      </c>
      <c r="D40" s="131">
        <f>D41+D46</f>
        <v>0</v>
      </c>
      <c r="E40" s="131">
        <f>E41+E46</f>
        <v>5730000</v>
      </c>
      <c r="F40" s="131">
        <f>F41</f>
        <v>0</v>
      </c>
      <c r="G40" s="1429">
        <f t="shared" si="1"/>
        <v>11460000</v>
      </c>
      <c r="H40" s="1432"/>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row>
    <row r="41" spans="1:44" s="145" customFormat="1" ht="15.75">
      <c r="A41" s="133">
        <v>19010000</v>
      </c>
      <c r="B41" s="149" t="s">
        <v>36</v>
      </c>
      <c r="C41" s="135">
        <f t="shared" ref="C41:C66" si="4">E41+D41</f>
        <v>5730000</v>
      </c>
      <c r="D41" s="135">
        <f>SUM(D42:D45)</f>
        <v>0</v>
      </c>
      <c r="E41" s="135">
        <f>SUM(E42:E45)</f>
        <v>5730000</v>
      </c>
      <c r="F41" s="135">
        <f>SUM(F42:F45)</f>
        <v>0</v>
      </c>
      <c r="G41" s="1429">
        <f t="shared" si="1"/>
        <v>11460000</v>
      </c>
      <c r="H41" s="1431"/>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row>
    <row r="42" spans="1:44" ht="58.15" customHeight="1">
      <c r="A42" s="129">
        <v>19010100</v>
      </c>
      <c r="B42" s="139" t="s">
        <v>1198</v>
      </c>
      <c r="C42" s="140">
        <f t="shared" si="4"/>
        <v>3100000</v>
      </c>
      <c r="D42" s="140"/>
      <c r="E42" s="140">
        <v>3100000</v>
      </c>
      <c r="F42" s="131"/>
      <c r="G42" s="1429">
        <f t="shared" si="1"/>
        <v>6200000</v>
      </c>
      <c r="H42" s="1428"/>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row>
    <row r="43" spans="1:44" ht="31.5">
      <c r="A43" s="129">
        <v>19010200</v>
      </c>
      <c r="B43" s="139" t="s">
        <v>144</v>
      </c>
      <c r="C43" s="140">
        <f t="shared" si="4"/>
        <v>1050000</v>
      </c>
      <c r="D43" s="140"/>
      <c r="E43" s="140">
        <v>1050000</v>
      </c>
      <c r="F43" s="131"/>
      <c r="G43" s="1429">
        <f t="shared" si="1"/>
        <v>2100000</v>
      </c>
      <c r="H43" s="1428"/>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row>
    <row r="44" spans="1:44" ht="47.25">
      <c r="A44" s="129">
        <v>19010300</v>
      </c>
      <c r="B44" s="139" t="s">
        <v>177</v>
      </c>
      <c r="C44" s="140">
        <f t="shared" si="4"/>
        <v>1580000</v>
      </c>
      <c r="D44" s="140"/>
      <c r="E44" s="140">
        <v>1580000</v>
      </c>
      <c r="F44" s="131"/>
      <c r="G44" s="1429">
        <f t="shared" si="1"/>
        <v>3160000</v>
      </c>
      <c r="H44" s="1428"/>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row>
    <row r="45" spans="1:44" ht="31.5" hidden="1">
      <c r="A45" s="129">
        <v>19010600</v>
      </c>
      <c r="B45" s="139" t="s">
        <v>178</v>
      </c>
      <c r="C45" s="140">
        <f t="shared" si="4"/>
        <v>0</v>
      </c>
      <c r="D45" s="140"/>
      <c r="E45" s="140"/>
      <c r="F45" s="131"/>
      <c r="G45" s="154">
        <f t="shared" si="1"/>
        <v>0</v>
      </c>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row>
    <row r="46" spans="1:44" ht="47.25" hidden="1">
      <c r="A46" s="133">
        <v>19020000</v>
      </c>
      <c r="B46" s="149" t="s">
        <v>223</v>
      </c>
      <c r="C46" s="135">
        <f>C47</f>
        <v>0</v>
      </c>
      <c r="D46" s="135">
        <f>D47</f>
        <v>0</v>
      </c>
      <c r="E46" s="135">
        <f>E47</f>
        <v>0</v>
      </c>
      <c r="F46" s="135">
        <f>F47</f>
        <v>0</v>
      </c>
      <c r="G46" s="154">
        <f t="shared" si="1"/>
        <v>0</v>
      </c>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row>
    <row r="47" spans="1:44" ht="15.75" hidden="1">
      <c r="A47" s="346">
        <v>19020200</v>
      </c>
      <c r="B47" s="347" t="s">
        <v>224</v>
      </c>
      <c r="C47" s="135">
        <f>E47+D47</f>
        <v>0</v>
      </c>
      <c r="D47" s="140"/>
      <c r="E47" s="140"/>
      <c r="F47" s="131"/>
      <c r="G47" s="154">
        <f t="shared" si="1"/>
        <v>0</v>
      </c>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row>
    <row r="48" spans="1:44" ht="15.75">
      <c r="A48" s="130">
        <v>20000000</v>
      </c>
      <c r="B48" s="150" t="s">
        <v>179</v>
      </c>
      <c r="C48" s="131">
        <f>E48+D48</f>
        <v>247175147</v>
      </c>
      <c r="D48" s="131">
        <f>SUM(D49+D54+D67)+D72</f>
        <v>64350664</v>
      </c>
      <c r="E48" s="131">
        <f>SUM(E49+E54+E67)+E72</f>
        <v>182824483</v>
      </c>
      <c r="F48" s="131">
        <f>SUM(F49+F54+F67)+F72</f>
        <v>0</v>
      </c>
      <c r="G48" s="1429">
        <f t="shared" si="1"/>
        <v>494350294</v>
      </c>
      <c r="H48" s="1428"/>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row>
    <row r="49" spans="1:44" s="148" customFormat="1" ht="15.75">
      <c r="A49" s="130">
        <v>21000000</v>
      </c>
      <c r="B49" s="150" t="s">
        <v>180</v>
      </c>
      <c r="C49" s="131">
        <f t="shared" si="4"/>
        <v>33842464</v>
      </c>
      <c r="D49" s="131">
        <f>+D50+D53+D52</f>
        <v>33034064</v>
      </c>
      <c r="E49" s="131">
        <f>+E50+E53</f>
        <v>808400</v>
      </c>
      <c r="F49" s="131">
        <f>+F50+F53</f>
        <v>0</v>
      </c>
      <c r="G49" s="1429">
        <f t="shared" si="1"/>
        <v>67684928</v>
      </c>
      <c r="H49" s="1432"/>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row>
    <row r="50" spans="1:44" s="145" customFormat="1" ht="86.25" customHeight="1">
      <c r="A50" s="133">
        <v>21010000</v>
      </c>
      <c r="B50" s="149" t="s">
        <v>1197</v>
      </c>
      <c r="C50" s="135">
        <f t="shared" si="4"/>
        <v>5226000</v>
      </c>
      <c r="D50" s="135">
        <f>D51</f>
        <v>5226000</v>
      </c>
      <c r="E50" s="135"/>
      <c r="F50" s="135"/>
      <c r="G50" s="1429">
        <f t="shared" si="1"/>
        <v>10452000</v>
      </c>
      <c r="H50" s="1431"/>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row>
    <row r="51" spans="1:44" ht="47.25">
      <c r="A51" s="142">
        <v>21010300</v>
      </c>
      <c r="B51" s="151" t="s">
        <v>181</v>
      </c>
      <c r="C51" s="140">
        <f t="shared" si="4"/>
        <v>5226000</v>
      </c>
      <c r="D51" s="140">
        <v>5226000</v>
      </c>
      <c r="E51" s="131"/>
      <c r="F51" s="131"/>
      <c r="G51" s="1429">
        <f t="shared" si="1"/>
        <v>10452000</v>
      </c>
      <c r="H51" s="1428"/>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row>
    <row r="52" spans="1:44" ht="31.5">
      <c r="A52" s="133">
        <v>21050000</v>
      </c>
      <c r="B52" s="152" t="s">
        <v>182</v>
      </c>
      <c r="C52" s="131">
        <f t="shared" si="4"/>
        <v>27808064</v>
      </c>
      <c r="D52" s="131">
        <v>27808064</v>
      </c>
      <c r="E52" s="131"/>
      <c r="F52" s="131"/>
      <c r="G52" s="1429">
        <f t="shared" si="1"/>
        <v>55616128</v>
      </c>
      <c r="H52" s="1428"/>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row>
    <row r="53" spans="1:44" s="145" customFormat="1" ht="30" customHeight="1">
      <c r="A53" s="133">
        <v>21110000</v>
      </c>
      <c r="B53" s="141" t="s">
        <v>238</v>
      </c>
      <c r="C53" s="135">
        <f t="shared" si="4"/>
        <v>808400</v>
      </c>
      <c r="D53" s="135"/>
      <c r="E53" s="135">
        <v>808400</v>
      </c>
      <c r="F53" s="135"/>
      <c r="G53" s="1429">
        <f t="shared" si="1"/>
        <v>1616800</v>
      </c>
      <c r="H53" s="1431"/>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row>
    <row r="54" spans="1:44" s="148" customFormat="1" ht="29.25" customHeight="1">
      <c r="A54" s="130">
        <v>22000000</v>
      </c>
      <c r="B54" s="132" t="s">
        <v>289</v>
      </c>
      <c r="C54" s="131">
        <f t="shared" si="4"/>
        <v>31016600</v>
      </c>
      <c r="D54" s="131">
        <f>+D63+D65+D55+D66</f>
        <v>31016600</v>
      </c>
      <c r="E54" s="131">
        <f>+E63+E65+E55</f>
        <v>0</v>
      </c>
      <c r="F54" s="131">
        <f>+F63+F65+F55</f>
        <v>0</v>
      </c>
      <c r="G54" s="1429">
        <f t="shared" si="1"/>
        <v>62033200</v>
      </c>
      <c r="H54" s="1432"/>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row>
    <row r="55" spans="1:44" s="145" customFormat="1" ht="15.75">
      <c r="A55" s="133">
        <v>22010000</v>
      </c>
      <c r="B55" s="141" t="s">
        <v>290</v>
      </c>
      <c r="C55" s="135">
        <f t="shared" si="4"/>
        <v>25447000</v>
      </c>
      <c r="D55" s="135">
        <f>SUM(D56:D62)</f>
        <v>25447000</v>
      </c>
      <c r="E55" s="135">
        <f>SUM(E57:E62)</f>
        <v>0</v>
      </c>
      <c r="F55" s="135">
        <f>SUM(F57:F62)</f>
        <v>0</v>
      </c>
      <c r="G55" s="1429">
        <f t="shared" si="1"/>
        <v>50894000</v>
      </c>
      <c r="H55" s="1431"/>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row>
    <row r="56" spans="1:44" s="145" customFormat="1" ht="61.5" hidden="1" customHeight="1">
      <c r="A56" s="840">
        <v>22010200</v>
      </c>
      <c r="B56" s="142" t="s">
        <v>365</v>
      </c>
      <c r="C56" s="140">
        <f t="shared" si="4"/>
        <v>0</v>
      </c>
      <c r="D56" s="140"/>
      <c r="E56" s="135"/>
      <c r="F56" s="135"/>
      <c r="G56" s="154">
        <f t="shared" si="1"/>
        <v>0</v>
      </c>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row>
    <row r="57" spans="1:44" ht="46.9" customHeight="1">
      <c r="A57" s="129">
        <v>22010500</v>
      </c>
      <c r="B57" s="142" t="s">
        <v>2151</v>
      </c>
      <c r="C57" s="140">
        <f t="shared" si="4"/>
        <v>3900</v>
      </c>
      <c r="D57" s="140">
        <v>3900</v>
      </c>
      <c r="E57" s="131"/>
      <c r="F57" s="131"/>
      <c r="G57" s="1429">
        <f t="shared" si="1"/>
        <v>7800</v>
      </c>
      <c r="H57" s="1428"/>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row>
    <row r="58" spans="1:44" ht="29.25" customHeight="1">
      <c r="A58" s="129">
        <v>22010700</v>
      </c>
      <c r="B58" s="142" t="s">
        <v>299</v>
      </c>
      <c r="C58" s="140">
        <f t="shared" si="4"/>
        <v>2340</v>
      </c>
      <c r="D58" s="140">
        <v>2340</v>
      </c>
      <c r="E58" s="140"/>
      <c r="F58" s="140"/>
      <c r="G58" s="1429">
        <f t="shared" si="1"/>
        <v>4680</v>
      </c>
      <c r="H58" s="1428"/>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row>
    <row r="59" spans="1:44" ht="47.25" hidden="1">
      <c r="A59" s="129">
        <v>22010900</v>
      </c>
      <c r="B59" s="142" t="s">
        <v>306</v>
      </c>
      <c r="C59" s="140">
        <f t="shared" si="4"/>
        <v>0</v>
      </c>
      <c r="D59" s="140"/>
      <c r="E59" s="140"/>
      <c r="F59" s="140"/>
      <c r="G59" s="154">
        <f t="shared" si="1"/>
        <v>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row>
    <row r="60" spans="1:44" ht="29.25" customHeight="1">
      <c r="A60" s="129">
        <v>22011000</v>
      </c>
      <c r="B60" s="142" t="s">
        <v>29</v>
      </c>
      <c r="C60" s="140">
        <f t="shared" si="4"/>
        <v>5500780</v>
      </c>
      <c r="D60" s="140">
        <v>5500780</v>
      </c>
      <c r="E60" s="140"/>
      <c r="F60" s="140"/>
      <c r="G60" s="1429">
        <f t="shared" si="1"/>
        <v>11001560</v>
      </c>
      <c r="H60" s="1428"/>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row>
    <row r="61" spans="1:44" ht="29.25" customHeight="1">
      <c r="A61" s="129">
        <v>22011100</v>
      </c>
      <c r="B61" s="142" t="s">
        <v>30</v>
      </c>
      <c r="C61" s="140">
        <f t="shared" si="4"/>
        <v>19040000</v>
      </c>
      <c r="D61" s="140">
        <v>19040000</v>
      </c>
      <c r="E61" s="140"/>
      <c r="F61" s="140"/>
      <c r="G61" s="1429">
        <f t="shared" si="1"/>
        <v>38080000</v>
      </c>
      <c r="H61" s="1428"/>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row>
    <row r="62" spans="1:44" ht="29.25" customHeight="1">
      <c r="A62" s="129">
        <v>22011800</v>
      </c>
      <c r="B62" s="142" t="s">
        <v>76</v>
      </c>
      <c r="C62" s="140">
        <f t="shared" si="4"/>
        <v>899980</v>
      </c>
      <c r="D62" s="140">
        <v>899980</v>
      </c>
      <c r="E62" s="140"/>
      <c r="F62" s="140"/>
      <c r="G62" s="1429">
        <f t="shared" si="1"/>
        <v>1799960</v>
      </c>
      <c r="H62" s="1428"/>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row>
    <row r="63" spans="1:44" s="145" customFormat="1" ht="36" customHeight="1">
      <c r="A63" s="133">
        <v>22080000</v>
      </c>
      <c r="B63" s="141" t="s">
        <v>239</v>
      </c>
      <c r="C63" s="135">
        <f t="shared" si="4"/>
        <v>5312000</v>
      </c>
      <c r="D63" s="135">
        <f>D64</f>
        <v>5312000</v>
      </c>
      <c r="E63" s="135"/>
      <c r="F63" s="135"/>
      <c r="G63" s="1429">
        <f t="shared" si="1"/>
        <v>10624000</v>
      </c>
      <c r="H63" s="1431"/>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row>
    <row r="64" spans="1:44" ht="33" customHeight="1">
      <c r="A64" s="129">
        <v>22080400</v>
      </c>
      <c r="B64" s="142" t="s">
        <v>219</v>
      </c>
      <c r="C64" s="140">
        <f t="shared" si="4"/>
        <v>5312000</v>
      </c>
      <c r="D64" s="140">
        <v>5312000</v>
      </c>
      <c r="E64" s="140"/>
      <c r="F64" s="140"/>
      <c r="G64" s="1429">
        <f t="shared" si="1"/>
        <v>10624000</v>
      </c>
      <c r="H64" s="1428"/>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row>
    <row r="65" spans="1:44" s="145" customFormat="1" ht="31.5" hidden="1">
      <c r="A65" s="133">
        <v>22120000</v>
      </c>
      <c r="B65" s="141" t="s">
        <v>220</v>
      </c>
      <c r="C65" s="135">
        <f t="shared" si="4"/>
        <v>0</v>
      </c>
      <c r="D65" s="135"/>
      <c r="E65" s="135"/>
      <c r="F65" s="135"/>
      <c r="G65" s="154">
        <f t="shared" si="1"/>
        <v>0</v>
      </c>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row>
    <row r="66" spans="1:44" s="145" customFormat="1" ht="78.75">
      <c r="A66" s="133">
        <v>22130000</v>
      </c>
      <c r="B66" s="141" t="s">
        <v>788</v>
      </c>
      <c r="C66" s="135">
        <f t="shared" si="4"/>
        <v>257600</v>
      </c>
      <c r="D66" s="135">
        <v>257600</v>
      </c>
      <c r="E66" s="135"/>
      <c r="F66" s="135"/>
      <c r="G66" s="1429">
        <f t="shared" si="1"/>
        <v>515200</v>
      </c>
      <c r="H66" s="1431"/>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row>
    <row r="67" spans="1:44" s="148" customFormat="1" ht="15.75">
      <c r="A67" s="130">
        <v>24000000</v>
      </c>
      <c r="B67" s="132" t="s">
        <v>221</v>
      </c>
      <c r="C67" s="131">
        <f>+C68</f>
        <v>300000</v>
      </c>
      <c r="D67" s="131">
        <f>+D68</f>
        <v>300000</v>
      </c>
      <c r="E67" s="131">
        <f>+E68</f>
        <v>0</v>
      </c>
      <c r="F67" s="131">
        <f>+F68</f>
        <v>0</v>
      </c>
      <c r="G67" s="1429">
        <f t="shared" si="1"/>
        <v>600000</v>
      </c>
      <c r="H67" s="1432"/>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row>
    <row r="68" spans="1:44" s="145" customFormat="1" ht="16.5" customHeight="1">
      <c r="A68" s="133">
        <v>24060000</v>
      </c>
      <c r="B68" s="141" t="s">
        <v>222</v>
      </c>
      <c r="C68" s="135">
        <f t="shared" ref="C68:C82" si="5">E68+D68</f>
        <v>300000</v>
      </c>
      <c r="D68" s="135">
        <f>+D69+D71+D70</f>
        <v>300000</v>
      </c>
      <c r="E68" s="135">
        <f>+E69+E71</f>
        <v>0</v>
      </c>
      <c r="F68" s="135">
        <f>+F69+F71</f>
        <v>0</v>
      </c>
      <c r="G68" s="1429">
        <f t="shared" si="1"/>
        <v>600000</v>
      </c>
      <c r="H68" s="1431"/>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row>
    <row r="69" spans="1:44" ht="15.75">
      <c r="A69" s="129">
        <v>24060300</v>
      </c>
      <c r="B69" s="153" t="s">
        <v>222</v>
      </c>
      <c r="C69" s="140">
        <f t="shared" si="5"/>
        <v>300000</v>
      </c>
      <c r="D69" s="140">
        <v>300000</v>
      </c>
      <c r="E69" s="140"/>
      <c r="F69" s="140"/>
      <c r="G69" s="1429">
        <f t="shared" si="1"/>
        <v>600000</v>
      </c>
      <c r="H69" s="1428"/>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row>
    <row r="70" spans="1:44" ht="63" hidden="1">
      <c r="A70" s="129">
        <v>24062000</v>
      </c>
      <c r="B70" s="142" t="s">
        <v>25</v>
      </c>
      <c r="C70" s="140">
        <f t="shared" si="5"/>
        <v>0</v>
      </c>
      <c r="D70" s="140"/>
      <c r="E70" s="140"/>
      <c r="F70" s="140"/>
      <c r="G70" s="154">
        <f t="shared" si="1"/>
        <v>0</v>
      </c>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row>
    <row r="71" spans="1:44" ht="48.75" hidden="1" customHeight="1">
      <c r="A71" s="129">
        <v>24062100</v>
      </c>
      <c r="B71" s="142" t="s">
        <v>78</v>
      </c>
      <c r="C71" s="140">
        <f t="shared" si="5"/>
        <v>0</v>
      </c>
      <c r="D71" s="140"/>
      <c r="E71" s="140"/>
      <c r="F71" s="140"/>
      <c r="G71" s="154">
        <f t="shared" si="1"/>
        <v>0</v>
      </c>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row>
    <row r="72" spans="1:44" s="148" customFormat="1" ht="21" customHeight="1">
      <c r="A72" s="130">
        <v>25000000</v>
      </c>
      <c r="B72" s="132" t="s">
        <v>79</v>
      </c>
      <c r="C72" s="131">
        <f t="shared" si="5"/>
        <v>182016083</v>
      </c>
      <c r="D72" s="131"/>
      <c r="E72" s="131">
        <f>E73+E78</f>
        <v>182016083</v>
      </c>
      <c r="F72" s="131"/>
      <c r="G72" s="1429">
        <f t="shared" si="1"/>
        <v>364032166</v>
      </c>
      <c r="H72" s="1432"/>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row>
    <row r="73" spans="1:44" s="145" customFormat="1" ht="31.5" customHeight="1">
      <c r="A73" s="133">
        <v>25010000</v>
      </c>
      <c r="B73" s="141" t="s">
        <v>80</v>
      </c>
      <c r="C73" s="135">
        <f t="shared" si="5"/>
        <v>143560383</v>
      </c>
      <c r="D73" s="135"/>
      <c r="E73" s="135">
        <f>SUM(E74:E77)</f>
        <v>143560383</v>
      </c>
      <c r="F73" s="135"/>
      <c r="G73" s="1429">
        <f t="shared" si="1"/>
        <v>287120766</v>
      </c>
      <c r="H73" s="1431"/>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row>
    <row r="74" spans="1:44" ht="31.5">
      <c r="A74" s="129">
        <v>25010100</v>
      </c>
      <c r="B74" s="142" t="s">
        <v>310</v>
      </c>
      <c r="C74" s="140">
        <f t="shared" si="5"/>
        <v>104587842</v>
      </c>
      <c r="D74" s="131"/>
      <c r="E74" s="140">
        <v>104587842</v>
      </c>
      <c r="F74" s="140"/>
      <c r="G74" s="1429">
        <f t="shared" ref="G74:G137" si="6">SUM(C74:F74)</f>
        <v>209175684</v>
      </c>
      <c r="H74" s="1428"/>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row>
    <row r="75" spans="1:44" ht="31.5">
      <c r="A75" s="129">
        <v>25010200</v>
      </c>
      <c r="B75" s="142" t="s">
        <v>188</v>
      </c>
      <c r="C75" s="140">
        <f t="shared" si="5"/>
        <v>38241856</v>
      </c>
      <c r="D75" s="131"/>
      <c r="E75" s="140">
        <v>38241856</v>
      </c>
      <c r="F75" s="140"/>
      <c r="G75" s="1429">
        <f t="shared" si="6"/>
        <v>76483712</v>
      </c>
      <c r="H75" s="1428"/>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row>
    <row r="76" spans="1:44" ht="19.5" customHeight="1">
      <c r="A76" s="129">
        <v>25010300</v>
      </c>
      <c r="B76" s="142" t="s">
        <v>311</v>
      </c>
      <c r="C76" s="140">
        <f t="shared" si="5"/>
        <v>614884</v>
      </c>
      <c r="D76" s="131"/>
      <c r="E76" s="140">
        <v>614884</v>
      </c>
      <c r="F76" s="140"/>
      <c r="G76" s="1429">
        <f t="shared" si="6"/>
        <v>1229768</v>
      </c>
      <c r="H76" s="1428"/>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row>
    <row r="77" spans="1:44" ht="30.75" customHeight="1">
      <c r="A77" s="129">
        <v>25010400</v>
      </c>
      <c r="B77" s="142" t="s">
        <v>282</v>
      </c>
      <c r="C77" s="140">
        <f t="shared" si="5"/>
        <v>115801</v>
      </c>
      <c r="D77" s="131"/>
      <c r="E77" s="140">
        <v>115801</v>
      </c>
      <c r="F77" s="140"/>
      <c r="G77" s="1429">
        <f t="shared" si="6"/>
        <v>231602</v>
      </c>
      <c r="H77" s="1428"/>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row>
    <row r="78" spans="1:44" s="145" customFormat="1" ht="15.75">
      <c r="A78" s="133">
        <v>25020000</v>
      </c>
      <c r="B78" s="141" t="s">
        <v>322</v>
      </c>
      <c r="C78" s="131">
        <f t="shared" si="5"/>
        <v>38455700</v>
      </c>
      <c r="D78" s="135"/>
      <c r="E78" s="135">
        <f>E79</f>
        <v>38455700</v>
      </c>
      <c r="F78" s="135"/>
      <c r="G78" s="1429">
        <f t="shared" si="6"/>
        <v>76911400</v>
      </c>
      <c r="H78" s="1431"/>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row>
    <row r="79" spans="1:44" ht="94.5">
      <c r="A79" s="129">
        <v>25020200</v>
      </c>
      <c r="B79" s="142" t="s">
        <v>309</v>
      </c>
      <c r="C79" s="140">
        <f t="shared" si="5"/>
        <v>38455700</v>
      </c>
      <c r="D79" s="131"/>
      <c r="E79" s="140">
        <v>38455700</v>
      </c>
      <c r="F79" s="140"/>
      <c r="G79" s="1429">
        <f t="shared" si="6"/>
        <v>76911400</v>
      </c>
      <c r="H79" s="1428"/>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row>
    <row r="80" spans="1:44" ht="15.75" hidden="1">
      <c r="A80" s="130">
        <v>30000000</v>
      </c>
      <c r="B80" s="130" t="s">
        <v>41</v>
      </c>
      <c r="C80" s="131">
        <f t="shared" si="5"/>
        <v>0</v>
      </c>
      <c r="D80" s="131"/>
      <c r="E80" s="131">
        <f>E81</f>
        <v>0</v>
      </c>
      <c r="F80" s="131">
        <f>F81</f>
        <v>0</v>
      </c>
      <c r="G80" s="154">
        <f t="shared" si="6"/>
        <v>0</v>
      </c>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row>
    <row r="81" spans="1:44" ht="15.75" hidden="1">
      <c r="A81" s="130">
        <v>31000000</v>
      </c>
      <c r="B81" s="132" t="s">
        <v>42</v>
      </c>
      <c r="C81" s="131">
        <f t="shared" si="5"/>
        <v>0</v>
      </c>
      <c r="D81" s="131"/>
      <c r="E81" s="131">
        <f>E82</f>
        <v>0</v>
      </c>
      <c r="F81" s="131">
        <f>F82</f>
        <v>0</v>
      </c>
      <c r="G81" s="154">
        <f t="shared" si="6"/>
        <v>0</v>
      </c>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row>
    <row r="82" spans="1:44" ht="31.5" hidden="1">
      <c r="A82" s="129">
        <v>31030000</v>
      </c>
      <c r="B82" s="142" t="s">
        <v>101</v>
      </c>
      <c r="C82" s="140">
        <f t="shared" si="5"/>
        <v>0</v>
      </c>
      <c r="D82" s="131"/>
      <c r="E82" s="140"/>
      <c r="F82" s="140"/>
      <c r="G82" s="154">
        <f t="shared" si="6"/>
        <v>0</v>
      </c>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row>
    <row r="83" spans="1:44" ht="15.75">
      <c r="A83" s="129"/>
      <c r="B83" s="132" t="s">
        <v>1239</v>
      </c>
      <c r="C83" s="131">
        <f>C9+C48</f>
        <v>1277836147</v>
      </c>
      <c r="D83" s="131">
        <f>D9+D48</f>
        <v>1089281664</v>
      </c>
      <c r="E83" s="131">
        <f>E9+E48</f>
        <v>188554483</v>
      </c>
      <c r="F83" s="131">
        <f>F9+F48</f>
        <v>0</v>
      </c>
      <c r="G83" s="1429">
        <f t="shared" si="6"/>
        <v>2555672294</v>
      </c>
      <c r="H83" s="1428"/>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row>
    <row r="84" spans="1:44" ht="15.75">
      <c r="A84" s="130">
        <v>40000000</v>
      </c>
      <c r="B84" s="130" t="s">
        <v>250</v>
      </c>
      <c r="C84" s="339">
        <f>E84+D84</f>
        <v>6192273831.7399998</v>
      </c>
      <c r="D84" s="131">
        <f>+D85+D147</f>
        <v>5378294838</v>
      </c>
      <c r="E84" s="339">
        <f>+E85+E147</f>
        <v>813978993.74000001</v>
      </c>
      <c r="F84" s="339">
        <f>+F85+F147</f>
        <v>38548616</v>
      </c>
      <c r="G84" s="1429">
        <f t="shared" si="6"/>
        <v>12423096279.48</v>
      </c>
      <c r="H84" s="1428"/>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row>
    <row r="85" spans="1:44" s="148" customFormat="1" ht="15.75">
      <c r="A85" s="130">
        <v>41000000</v>
      </c>
      <c r="B85" s="130" t="s">
        <v>185</v>
      </c>
      <c r="C85" s="131">
        <f>E85+D85</f>
        <v>6192218554</v>
      </c>
      <c r="D85" s="131">
        <f>D88+D101+D86+D139</f>
        <v>5378294838</v>
      </c>
      <c r="E85" s="131">
        <f>E88+E101+E86+E139</f>
        <v>813923716</v>
      </c>
      <c r="F85" s="131">
        <f>F88+F101+F86+F139</f>
        <v>38548616</v>
      </c>
      <c r="G85" s="1429">
        <f t="shared" si="6"/>
        <v>12422985724</v>
      </c>
      <c r="H85" s="1432"/>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row>
    <row r="86" spans="1:44" s="145" customFormat="1" ht="15.75" hidden="1">
      <c r="A86" s="133">
        <v>41010000</v>
      </c>
      <c r="B86" s="155" t="s">
        <v>325</v>
      </c>
      <c r="C86" s="135">
        <f>D86+E86</f>
        <v>0</v>
      </c>
      <c r="D86" s="135"/>
      <c r="E86" s="135"/>
      <c r="F86" s="135"/>
      <c r="G86" s="154">
        <f t="shared" si="6"/>
        <v>0</v>
      </c>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row>
    <row r="87" spans="1:44" ht="31.5" hidden="1">
      <c r="A87" s="129">
        <v>41010900</v>
      </c>
      <c r="B87" s="156" t="s">
        <v>186</v>
      </c>
      <c r="C87" s="140">
        <f>E87+D87</f>
        <v>0</v>
      </c>
      <c r="D87" s="140"/>
      <c r="E87" s="140"/>
      <c r="F87" s="140"/>
      <c r="G87" s="154">
        <f t="shared" si="6"/>
        <v>0</v>
      </c>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row>
    <row r="88" spans="1:44" s="145" customFormat="1" ht="15.75">
      <c r="A88" s="133">
        <v>41020000</v>
      </c>
      <c r="B88" s="157" t="s">
        <v>865</v>
      </c>
      <c r="C88" s="135">
        <f>C89+C90+C92+C95+C96+C93+C97+C98+C94+C91+C100</f>
        <v>620880100</v>
      </c>
      <c r="D88" s="135">
        <f>D89+D90+D92+D95+D96+D93+D97+D98+D94+D91+D100</f>
        <v>620880100</v>
      </c>
      <c r="E88" s="135">
        <f>E89+E90+E92+E95+E96+E93+E97+E98+E94+E91+E100</f>
        <v>0</v>
      </c>
      <c r="F88" s="135">
        <f>F89+F90+F92+F95+F96+F93+F97+F98+F94+F91+F100</f>
        <v>0</v>
      </c>
      <c r="G88" s="1429">
        <f t="shared" si="6"/>
        <v>1241760200</v>
      </c>
      <c r="H88" s="1431"/>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row>
    <row r="89" spans="1:44" ht="15.75">
      <c r="A89" s="129">
        <v>41020100</v>
      </c>
      <c r="B89" s="156" t="s">
        <v>187</v>
      </c>
      <c r="C89" s="140">
        <f t="shared" ref="C89:C100" si="7">E89+D89</f>
        <v>43464800</v>
      </c>
      <c r="D89" s="259">
        <v>43464800</v>
      </c>
      <c r="E89" s="259"/>
      <c r="F89" s="140"/>
      <c r="G89" s="1429">
        <f t="shared" si="6"/>
        <v>86929600</v>
      </c>
      <c r="H89" s="1428"/>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row>
    <row r="90" spans="1:44" ht="15.75" hidden="1">
      <c r="A90" s="158">
        <v>41020600</v>
      </c>
      <c r="B90" s="142" t="s">
        <v>31</v>
      </c>
      <c r="C90" s="140">
        <f t="shared" si="7"/>
        <v>0</v>
      </c>
      <c r="D90" s="140"/>
      <c r="E90" s="140"/>
      <c r="F90" s="140"/>
      <c r="G90" s="154">
        <f t="shared" si="6"/>
        <v>0</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row>
    <row r="91" spans="1:44" ht="63" hidden="1">
      <c r="A91" s="158">
        <v>41021100</v>
      </c>
      <c r="B91" s="142" t="s">
        <v>195</v>
      </c>
      <c r="C91" s="140">
        <f t="shared" si="7"/>
        <v>0</v>
      </c>
      <c r="D91" s="140"/>
      <c r="E91" s="140"/>
      <c r="F91" s="140"/>
      <c r="G91" s="154">
        <f t="shared" si="6"/>
        <v>0</v>
      </c>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row>
    <row r="92" spans="1:44" ht="47.25" hidden="1">
      <c r="A92" s="158">
        <v>41021100</v>
      </c>
      <c r="B92" s="142" t="s">
        <v>0</v>
      </c>
      <c r="C92" s="140">
        <f t="shared" si="7"/>
        <v>0</v>
      </c>
      <c r="D92" s="140"/>
      <c r="E92" s="140"/>
      <c r="F92" s="140"/>
      <c r="G92" s="154">
        <f t="shared" si="6"/>
        <v>0</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row>
    <row r="93" spans="1:44" ht="47.25" hidden="1">
      <c r="A93" s="158">
        <v>41021200</v>
      </c>
      <c r="B93" s="142" t="s">
        <v>263</v>
      </c>
      <c r="C93" s="140">
        <f t="shared" si="7"/>
        <v>0</v>
      </c>
      <c r="D93" s="140"/>
      <c r="E93" s="140"/>
      <c r="F93" s="140"/>
      <c r="G93" s="154">
        <f t="shared" si="6"/>
        <v>0</v>
      </c>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row>
    <row r="94" spans="1:44" ht="47.25" hidden="1">
      <c r="A94" s="158">
        <v>41021300</v>
      </c>
      <c r="B94" s="142" t="s">
        <v>196</v>
      </c>
      <c r="C94" s="140">
        <f t="shared" si="7"/>
        <v>0</v>
      </c>
      <c r="D94" s="140"/>
      <c r="E94" s="140"/>
      <c r="F94" s="140"/>
      <c r="G94" s="154">
        <f t="shared" si="6"/>
        <v>0</v>
      </c>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row>
    <row r="95" spans="1:44" ht="78.75" hidden="1">
      <c r="A95" s="158">
        <v>41021600</v>
      </c>
      <c r="B95" s="142" t="s">
        <v>51</v>
      </c>
      <c r="C95" s="140">
        <f t="shared" si="7"/>
        <v>0</v>
      </c>
      <c r="D95" s="140"/>
      <c r="E95" s="140"/>
      <c r="F95" s="140"/>
      <c r="G95" s="154">
        <f t="shared" si="6"/>
        <v>0</v>
      </c>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row>
    <row r="96" spans="1:44" ht="63" hidden="1">
      <c r="A96" s="158">
        <v>41021700</v>
      </c>
      <c r="B96" s="142" t="s">
        <v>240</v>
      </c>
      <c r="C96" s="140">
        <f t="shared" si="7"/>
        <v>0</v>
      </c>
      <c r="D96" s="140"/>
      <c r="E96" s="140"/>
      <c r="F96" s="140"/>
      <c r="G96" s="154">
        <f t="shared" si="6"/>
        <v>0</v>
      </c>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row>
    <row r="97" spans="1:44" ht="31.5" hidden="1">
      <c r="A97" s="158">
        <v>41021800</v>
      </c>
      <c r="B97" s="156" t="s">
        <v>225</v>
      </c>
      <c r="C97" s="140">
        <f t="shared" si="7"/>
        <v>0</v>
      </c>
      <c r="D97" s="140"/>
      <c r="E97" s="140"/>
      <c r="F97" s="140"/>
      <c r="G97" s="154">
        <f t="shared" si="6"/>
        <v>0</v>
      </c>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row>
    <row r="98" spans="1:44" ht="63" hidden="1">
      <c r="A98" s="158">
        <v>41021900</v>
      </c>
      <c r="B98" s="156" t="s">
        <v>264</v>
      </c>
      <c r="C98" s="140">
        <f t="shared" si="7"/>
        <v>0</v>
      </c>
      <c r="D98" s="140"/>
      <c r="E98" s="140"/>
      <c r="F98" s="140"/>
      <c r="G98" s="154">
        <f t="shared" si="6"/>
        <v>0</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row>
    <row r="99" spans="1:44" ht="15.75" hidden="1">
      <c r="A99" s="158"/>
      <c r="B99" s="156"/>
      <c r="C99" s="140">
        <f t="shared" si="7"/>
        <v>0</v>
      </c>
      <c r="D99" s="140"/>
      <c r="E99" s="140"/>
      <c r="F99" s="140"/>
      <c r="G99" s="154">
        <f t="shared" si="6"/>
        <v>0</v>
      </c>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row>
    <row r="100" spans="1:44" ht="47.25">
      <c r="A100" s="331">
        <v>41020200</v>
      </c>
      <c r="B100" s="156" t="s">
        <v>63</v>
      </c>
      <c r="C100" s="140">
        <f t="shared" si="7"/>
        <v>577415300</v>
      </c>
      <c r="D100" s="259">
        <v>577415300</v>
      </c>
      <c r="E100" s="259"/>
      <c r="F100" s="140"/>
      <c r="G100" s="1429">
        <f t="shared" si="6"/>
        <v>1154830600</v>
      </c>
      <c r="H100" s="1428"/>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row>
    <row r="101" spans="1:44" s="145" customFormat="1" ht="15.75">
      <c r="A101" s="133">
        <v>41030000</v>
      </c>
      <c r="B101" s="157" t="s">
        <v>864</v>
      </c>
      <c r="C101" s="135">
        <f>SUM(C102:C138)</f>
        <v>5526411055</v>
      </c>
      <c r="D101" s="135">
        <f>SUM(D102:D138)</f>
        <v>4751035955</v>
      </c>
      <c r="E101" s="135">
        <f>SUM(E102:E138)</f>
        <v>775375100</v>
      </c>
      <c r="F101" s="135">
        <f>SUM(F102:F138)</f>
        <v>0</v>
      </c>
      <c r="G101" s="1429">
        <f t="shared" si="6"/>
        <v>11052822110</v>
      </c>
      <c r="H101" s="1431"/>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row>
    <row r="102" spans="1:44" s="145" customFormat="1" ht="31.5">
      <c r="A102" s="159">
        <v>41030300</v>
      </c>
      <c r="B102" s="173" t="s">
        <v>1277</v>
      </c>
      <c r="C102" s="140">
        <f t="shared" ref="C102:C126" si="8">E102+D102</f>
        <v>67423500</v>
      </c>
      <c r="D102" s="259">
        <v>67423500</v>
      </c>
      <c r="E102" s="135"/>
      <c r="F102" s="135"/>
      <c r="G102" s="1429">
        <f t="shared" si="6"/>
        <v>134847000</v>
      </c>
      <c r="H102" s="1431"/>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row>
    <row r="103" spans="1:44" s="145" customFormat="1" ht="266.45" customHeight="1">
      <c r="A103" s="1389">
        <v>41030500</v>
      </c>
      <c r="B103" s="1391" t="s">
        <v>2062</v>
      </c>
      <c r="C103" s="140">
        <f t="shared" si="8"/>
        <v>938511</v>
      </c>
      <c r="D103" s="752">
        <v>938511</v>
      </c>
      <c r="E103" s="135"/>
      <c r="F103" s="135"/>
      <c r="G103" s="1429">
        <f t="shared" si="6"/>
        <v>1877022</v>
      </c>
      <c r="H103" s="1431"/>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row>
    <row r="104" spans="1:44" ht="168" customHeight="1">
      <c r="A104" s="158">
        <v>41030600</v>
      </c>
      <c r="B104" s="171" t="s">
        <v>633</v>
      </c>
      <c r="C104" s="140">
        <f t="shared" si="8"/>
        <v>2247468600</v>
      </c>
      <c r="D104" s="259">
        <v>2247468600</v>
      </c>
      <c r="E104" s="259"/>
      <c r="F104" s="140"/>
      <c r="G104" s="1429">
        <f t="shared" si="6"/>
        <v>4494937200</v>
      </c>
      <c r="H104" s="1428"/>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row>
    <row r="105" spans="1:44" ht="165" customHeight="1">
      <c r="A105" s="158">
        <v>41030800</v>
      </c>
      <c r="B105" s="171" t="s">
        <v>964</v>
      </c>
      <c r="C105" s="140">
        <f t="shared" si="8"/>
        <v>847599300</v>
      </c>
      <c r="D105" s="259">
        <f>1295203200-447603900</f>
        <v>847599300</v>
      </c>
      <c r="E105" s="259"/>
      <c r="F105" s="140"/>
      <c r="G105" s="1429">
        <f t="shared" si="6"/>
        <v>1695198600</v>
      </c>
      <c r="H105" s="1428"/>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row>
    <row r="106" spans="1:44" ht="204.75" hidden="1">
      <c r="A106" s="158">
        <v>41030900</v>
      </c>
      <c r="B106" s="171" t="s">
        <v>154</v>
      </c>
      <c r="C106" s="140">
        <f t="shared" si="8"/>
        <v>0</v>
      </c>
      <c r="D106" s="140"/>
      <c r="E106" s="140"/>
      <c r="F106" s="140"/>
      <c r="G106" s="154">
        <f t="shared" si="6"/>
        <v>0</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row>
    <row r="107" spans="1:44" ht="47.25">
      <c r="A107" s="158">
        <v>41031000</v>
      </c>
      <c r="B107" s="172" t="s">
        <v>634</v>
      </c>
      <c r="C107" s="140">
        <f t="shared" si="8"/>
        <v>227953600</v>
      </c>
      <c r="D107" s="259">
        <v>227953600</v>
      </c>
      <c r="E107" s="259"/>
      <c r="F107" s="140"/>
      <c r="G107" s="1429">
        <f t="shared" si="6"/>
        <v>455907200</v>
      </c>
      <c r="H107" s="1428"/>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row>
    <row r="108" spans="1:44" ht="157.5">
      <c r="A108" s="1389">
        <v>41031300</v>
      </c>
      <c r="B108" s="1390" t="s">
        <v>2060</v>
      </c>
      <c r="C108" s="140">
        <f t="shared" si="8"/>
        <v>1239284</v>
      </c>
      <c r="D108" s="259">
        <v>1239284</v>
      </c>
      <c r="E108" s="259"/>
      <c r="F108" s="140"/>
      <c r="G108" s="1429">
        <f t="shared" si="6"/>
        <v>2478568</v>
      </c>
      <c r="H108" s="1428"/>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row>
    <row r="109" spans="1:44" ht="15.75" hidden="1">
      <c r="A109" s="158"/>
      <c r="B109" s="172"/>
      <c r="C109" s="140">
        <f t="shared" si="8"/>
        <v>0</v>
      </c>
      <c r="D109" s="140">
        <f>F109+E109</f>
        <v>0</v>
      </c>
      <c r="E109" s="140"/>
      <c r="F109" s="140"/>
      <c r="G109" s="154">
        <f t="shared" si="6"/>
        <v>0</v>
      </c>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row>
    <row r="110" spans="1:44" ht="78.75">
      <c r="A110" s="159">
        <v>41031800</v>
      </c>
      <c r="B110" s="463" t="s">
        <v>2125</v>
      </c>
      <c r="C110" s="140">
        <f t="shared" si="8"/>
        <v>10500000</v>
      </c>
      <c r="D110" s="140">
        <v>10500000</v>
      </c>
      <c r="E110" s="140"/>
      <c r="F110" s="140"/>
      <c r="G110" s="1429">
        <f t="shared" si="6"/>
        <v>21000000</v>
      </c>
      <c r="H110" s="1428"/>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row>
    <row r="111" spans="1:44" ht="47.25">
      <c r="A111" s="159">
        <v>41032600</v>
      </c>
      <c r="B111" s="173" t="s">
        <v>636</v>
      </c>
      <c r="C111" s="140">
        <f t="shared" si="8"/>
        <v>4396900</v>
      </c>
      <c r="D111" s="259">
        <v>4396900</v>
      </c>
      <c r="E111" s="259"/>
      <c r="F111" s="140"/>
      <c r="G111" s="1429">
        <f t="shared" si="6"/>
        <v>8793800</v>
      </c>
      <c r="H111" s="1428"/>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row>
    <row r="112" spans="1:44" ht="31.5" hidden="1">
      <c r="A112" s="158">
        <v>41033800</v>
      </c>
      <c r="B112" s="174" t="s">
        <v>265</v>
      </c>
      <c r="C112" s="140">
        <f t="shared" si="8"/>
        <v>0</v>
      </c>
      <c r="D112" s="140">
        <f>F112+E112</f>
        <v>0</v>
      </c>
      <c r="E112" s="140"/>
      <c r="F112" s="140"/>
      <c r="G112" s="154">
        <f t="shared" si="6"/>
        <v>0</v>
      </c>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row>
    <row r="113" spans="1:44" ht="46.9" hidden="1" customHeight="1">
      <c r="A113" s="159">
        <v>41032800</v>
      </c>
      <c r="B113" s="172" t="s">
        <v>326</v>
      </c>
      <c r="C113" s="140">
        <f t="shared" si="8"/>
        <v>0</v>
      </c>
      <c r="D113" s="140">
        <f>F113+E113</f>
        <v>0</v>
      </c>
      <c r="E113" s="140"/>
      <c r="F113" s="140"/>
      <c r="G113" s="154">
        <f t="shared" si="6"/>
        <v>0</v>
      </c>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row>
    <row r="114" spans="1:44" ht="46.9" hidden="1" customHeight="1">
      <c r="A114" s="158">
        <v>41033000</v>
      </c>
      <c r="B114" s="173" t="s">
        <v>327</v>
      </c>
      <c r="C114" s="140">
        <f t="shared" si="8"/>
        <v>0</v>
      </c>
      <c r="D114" s="140">
        <f>F114+E114</f>
        <v>0</v>
      </c>
      <c r="E114" s="140"/>
      <c r="F114" s="140"/>
      <c r="G114" s="154">
        <f t="shared" si="6"/>
        <v>0</v>
      </c>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row>
    <row r="115" spans="1:44" ht="56.45" customHeight="1">
      <c r="A115" s="158">
        <v>41033300</v>
      </c>
      <c r="B115" s="173" t="s">
        <v>953</v>
      </c>
      <c r="C115" s="140">
        <f t="shared" si="8"/>
        <v>38766100</v>
      </c>
      <c r="D115" s="259">
        <v>38766100</v>
      </c>
      <c r="E115" s="259"/>
      <c r="F115" s="140"/>
      <c r="G115" s="1429">
        <f t="shared" si="6"/>
        <v>77532200</v>
      </c>
      <c r="H115" s="1428"/>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row>
    <row r="116" spans="1:44" ht="31.5" hidden="1">
      <c r="A116" s="158">
        <v>41033500</v>
      </c>
      <c r="B116" s="173" t="s">
        <v>102</v>
      </c>
      <c r="C116" s="140">
        <f t="shared" si="8"/>
        <v>0</v>
      </c>
      <c r="D116" s="140"/>
      <c r="E116" s="140"/>
      <c r="F116" s="140"/>
      <c r="G116" s="154">
        <f t="shared" si="6"/>
        <v>0</v>
      </c>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row>
    <row r="117" spans="1:44" ht="47.25">
      <c r="A117" s="159">
        <v>41033700</v>
      </c>
      <c r="B117" s="173" t="s">
        <v>635</v>
      </c>
      <c r="C117" s="140">
        <f t="shared" si="8"/>
        <v>604500</v>
      </c>
      <c r="D117" s="259">
        <v>604500</v>
      </c>
      <c r="E117" s="259"/>
      <c r="F117" s="140"/>
      <c r="G117" s="1429">
        <f t="shared" si="6"/>
        <v>1209000</v>
      </c>
      <c r="H117" s="1428"/>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row>
    <row r="118" spans="1:44" ht="31.5">
      <c r="A118" s="331">
        <v>41033500</v>
      </c>
      <c r="B118" s="172" t="s">
        <v>95</v>
      </c>
      <c r="C118" s="140">
        <f>E118+D118</f>
        <v>11538500</v>
      </c>
      <c r="D118" s="259">
        <v>11538500</v>
      </c>
      <c r="E118" s="259"/>
      <c r="F118" s="140"/>
      <c r="G118" s="1429">
        <f t="shared" si="6"/>
        <v>23077000</v>
      </c>
      <c r="H118" s="1428"/>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row>
    <row r="119" spans="1:44" ht="47.25">
      <c r="A119" s="331">
        <v>41033600</v>
      </c>
      <c r="B119" s="172" t="s">
        <v>96</v>
      </c>
      <c r="C119" s="140">
        <f>E119+D119</f>
        <v>7965800</v>
      </c>
      <c r="D119" s="259">
        <v>7965800</v>
      </c>
      <c r="E119" s="259"/>
      <c r="F119" s="140"/>
      <c r="G119" s="1429">
        <f t="shared" si="6"/>
        <v>15931600</v>
      </c>
      <c r="H119" s="1428"/>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row>
    <row r="120" spans="1:44" ht="31.5" hidden="1">
      <c r="A120" s="158">
        <v>41033800</v>
      </c>
      <c r="B120" s="173" t="s">
        <v>265</v>
      </c>
      <c r="C120" s="140">
        <f t="shared" si="8"/>
        <v>0</v>
      </c>
      <c r="D120" s="140">
        <f>F120+E120</f>
        <v>0</v>
      </c>
      <c r="E120" s="140"/>
      <c r="F120" s="140"/>
      <c r="G120" s="154">
        <f t="shared" si="6"/>
        <v>0</v>
      </c>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row>
    <row r="121" spans="1:44" ht="47.25">
      <c r="A121" s="159">
        <v>41033800</v>
      </c>
      <c r="B121" s="173" t="s">
        <v>900</v>
      </c>
      <c r="C121" s="140">
        <f>E121+D121</f>
        <v>809500</v>
      </c>
      <c r="D121" s="140">
        <v>809500</v>
      </c>
      <c r="E121" s="140"/>
      <c r="F121" s="140"/>
      <c r="G121" s="1429">
        <f t="shared" si="6"/>
        <v>1619000</v>
      </c>
      <c r="H121" s="1428"/>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row>
    <row r="122" spans="1:44" ht="15.75">
      <c r="A122" s="158">
        <v>41033900</v>
      </c>
      <c r="B122" s="173" t="s">
        <v>232</v>
      </c>
      <c r="C122" s="140">
        <f t="shared" si="8"/>
        <v>216189700</v>
      </c>
      <c r="D122" s="259">
        <v>216189700</v>
      </c>
      <c r="E122" s="259"/>
      <c r="F122" s="140"/>
      <c r="G122" s="1429">
        <f t="shared" si="6"/>
        <v>432379400</v>
      </c>
      <c r="H122" s="1428"/>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row>
    <row r="123" spans="1:44" ht="15.75">
      <c r="A123" s="158">
        <v>41034200</v>
      </c>
      <c r="B123" s="173" t="s">
        <v>233</v>
      </c>
      <c r="C123" s="140">
        <f t="shared" si="8"/>
        <v>909611100</v>
      </c>
      <c r="D123" s="259">
        <f>909610400+700</f>
        <v>909611100</v>
      </c>
      <c r="E123" s="259"/>
      <c r="F123" s="140"/>
      <c r="G123" s="1429">
        <f t="shared" si="6"/>
        <v>1819222200</v>
      </c>
      <c r="H123" s="1428"/>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row>
    <row r="124" spans="1:44" ht="110.25" hidden="1">
      <c r="A124" s="158">
        <v>41034300</v>
      </c>
      <c r="B124" s="173" t="s">
        <v>52</v>
      </c>
      <c r="C124" s="140">
        <f t="shared" si="8"/>
        <v>0</v>
      </c>
      <c r="D124" s="140">
        <f>F124+E124</f>
        <v>0</v>
      </c>
      <c r="E124" s="140"/>
      <c r="F124" s="140"/>
      <c r="G124" s="154">
        <f t="shared" si="6"/>
        <v>0</v>
      </c>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row>
    <row r="125" spans="1:44" ht="78.75">
      <c r="A125" s="462">
        <v>41034400</v>
      </c>
      <c r="B125" s="463" t="s">
        <v>965</v>
      </c>
      <c r="C125" s="140">
        <f t="shared" si="8"/>
        <v>17899300</v>
      </c>
      <c r="D125" s="259">
        <v>17899300</v>
      </c>
      <c r="E125" s="259"/>
      <c r="F125" s="140"/>
      <c r="G125" s="1429">
        <f t="shared" si="6"/>
        <v>35798600</v>
      </c>
      <c r="H125" s="1428"/>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row>
    <row r="126" spans="1:44" ht="47.25">
      <c r="A126" s="464">
        <v>41034500</v>
      </c>
      <c r="B126" s="463" t="s">
        <v>28</v>
      </c>
      <c r="C126" s="140">
        <f t="shared" si="8"/>
        <v>600000</v>
      </c>
      <c r="D126" s="140">
        <v>600000</v>
      </c>
      <c r="E126" s="140"/>
      <c r="F126" s="140"/>
      <c r="G126" s="1429">
        <f t="shared" si="6"/>
        <v>1200000</v>
      </c>
      <c r="H126" s="1428"/>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row>
    <row r="127" spans="1:44" ht="47.25" hidden="1">
      <c r="A127" s="159">
        <v>41034800</v>
      </c>
      <c r="B127" s="173" t="s">
        <v>146</v>
      </c>
      <c r="C127" s="140">
        <f>E127+D127</f>
        <v>0</v>
      </c>
      <c r="D127" s="140">
        <f>F127+E127</f>
        <v>0</v>
      </c>
      <c r="E127" s="140"/>
      <c r="F127" s="140"/>
      <c r="G127" s="154">
        <f t="shared" si="6"/>
        <v>0</v>
      </c>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row>
    <row r="128" spans="1:44" ht="47.25" hidden="1">
      <c r="A128" s="158">
        <v>41035200</v>
      </c>
      <c r="B128" s="173" t="s">
        <v>216</v>
      </c>
      <c r="C128" s="140">
        <f t="shared" ref="C128:C136" si="9">E128+D128</f>
        <v>0</v>
      </c>
      <c r="D128" s="140"/>
      <c r="E128" s="140"/>
      <c r="F128" s="259"/>
      <c r="G128" s="154">
        <f t="shared" si="6"/>
        <v>0</v>
      </c>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row>
    <row r="129" spans="1:44" ht="31.5">
      <c r="A129" s="331">
        <v>41035400</v>
      </c>
      <c r="B129" s="173" t="s">
        <v>110</v>
      </c>
      <c r="C129" s="140">
        <f t="shared" si="9"/>
        <v>16706500</v>
      </c>
      <c r="D129" s="259">
        <f>13740600+2965900</f>
        <v>16706500</v>
      </c>
      <c r="E129" s="259"/>
      <c r="F129" s="140"/>
      <c r="G129" s="1429">
        <f t="shared" si="6"/>
        <v>33413000</v>
      </c>
      <c r="H129" s="1428"/>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row>
    <row r="130" spans="1:44" ht="141.6" customHeight="1">
      <c r="A130" s="159">
        <v>41035800</v>
      </c>
      <c r="B130" s="173" t="s">
        <v>1196</v>
      </c>
      <c r="C130" s="140">
        <f t="shared" si="9"/>
        <v>44476200</v>
      </c>
      <c r="D130" s="259">
        <v>44476200</v>
      </c>
      <c r="E130" s="259"/>
      <c r="F130" s="140"/>
      <c r="G130" s="1429">
        <f t="shared" si="6"/>
        <v>88952400</v>
      </c>
      <c r="H130" s="1428"/>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row>
    <row r="131" spans="1:44" ht="216" customHeight="1">
      <c r="A131" s="159">
        <v>41036100</v>
      </c>
      <c r="B131" s="173" t="s">
        <v>2059</v>
      </c>
      <c r="C131" s="140">
        <f t="shared" si="9"/>
        <v>19253657</v>
      </c>
      <c r="D131" s="752">
        <v>19253657</v>
      </c>
      <c r="E131" s="140"/>
      <c r="F131" s="140"/>
      <c r="G131" s="1429">
        <f t="shared" si="6"/>
        <v>38507314</v>
      </c>
      <c r="H131" s="1428"/>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row>
    <row r="132" spans="1:44" ht="194.25" customHeight="1">
      <c r="A132" s="1389">
        <v>41036400</v>
      </c>
      <c r="B132" s="1391" t="s">
        <v>2061</v>
      </c>
      <c r="C132" s="140">
        <f t="shared" si="9"/>
        <v>12155323</v>
      </c>
      <c r="D132" s="140">
        <v>12155323</v>
      </c>
      <c r="E132" s="140"/>
      <c r="F132" s="140"/>
      <c r="G132" s="1429">
        <f t="shared" si="6"/>
        <v>24310646</v>
      </c>
      <c r="H132" s="1428"/>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row>
    <row r="133" spans="1:44" ht="173.25" hidden="1">
      <c r="A133" s="159">
        <v>41036600</v>
      </c>
      <c r="B133" s="828" t="s">
        <v>954</v>
      </c>
      <c r="C133" s="140">
        <f t="shared" si="9"/>
        <v>0</v>
      </c>
      <c r="D133" s="140"/>
      <c r="E133" s="140"/>
      <c r="F133" s="140"/>
      <c r="G133" s="154">
        <f t="shared" si="6"/>
        <v>0</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row>
    <row r="134" spans="1:44" ht="47.25">
      <c r="A134" s="159">
        <v>41037000</v>
      </c>
      <c r="B134" s="173" t="s">
        <v>142</v>
      </c>
      <c r="C134" s="140">
        <f t="shared" si="9"/>
        <v>1321180</v>
      </c>
      <c r="D134" s="140">
        <f>68800+1252380</f>
        <v>1321180</v>
      </c>
      <c r="E134" s="140"/>
      <c r="F134" s="140"/>
      <c r="G134" s="1429">
        <f t="shared" si="6"/>
        <v>2642360</v>
      </c>
      <c r="H134" s="1428"/>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row>
    <row r="135" spans="1:44" ht="47.25">
      <c r="A135" s="464">
        <v>41037200</v>
      </c>
      <c r="B135" s="173" t="s">
        <v>898</v>
      </c>
      <c r="C135" s="140">
        <f t="shared" si="9"/>
        <v>45618900</v>
      </c>
      <c r="D135" s="140">
        <f>35929300+9689600</f>
        <v>45618900</v>
      </c>
      <c r="E135" s="140"/>
      <c r="F135" s="140"/>
      <c r="G135" s="1429">
        <f t="shared" si="6"/>
        <v>91237800</v>
      </c>
      <c r="H135" s="1428"/>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row>
    <row r="136" spans="1:44" ht="63">
      <c r="A136" s="464">
        <v>41037300</v>
      </c>
      <c r="B136" s="463" t="s">
        <v>644</v>
      </c>
      <c r="C136" s="140">
        <f t="shared" si="9"/>
        <v>775375100</v>
      </c>
      <c r="D136" s="259"/>
      <c r="E136" s="259">
        <v>775375100</v>
      </c>
      <c r="F136" s="140"/>
      <c r="G136" s="1429">
        <f t="shared" si="6"/>
        <v>1550750200</v>
      </c>
      <c r="H136" s="1428"/>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row>
    <row r="137" spans="1:44" ht="31.5" hidden="1">
      <c r="A137" s="159">
        <v>41037800</v>
      </c>
      <c r="B137" s="173" t="s">
        <v>283</v>
      </c>
      <c r="C137" s="140">
        <f>E137+D137</f>
        <v>0</v>
      </c>
      <c r="D137" s="140"/>
      <c r="E137" s="140"/>
      <c r="F137" s="140"/>
      <c r="G137" s="154">
        <f t="shared" si="6"/>
        <v>0</v>
      </c>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row>
    <row r="138" spans="1:44" ht="63" hidden="1">
      <c r="A138" s="158">
        <v>41039700</v>
      </c>
      <c r="B138" s="173" t="s">
        <v>32</v>
      </c>
      <c r="C138" s="140">
        <f>E138+D138</f>
        <v>0</v>
      </c>
      <c r="D138" s="140"/>
      <c r="E138" s="140"/>
      <c r="F138" s="140"/>
      <c r="G138" s="154">
        <f t="shared" ref="G138:G156" si="10">SUM(C138:F138)</f>
        <v>0</v>
      </c>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row>
    <row r="139" spans="1:44" s="145" customFormat="1" ht="15.75">
      <c r="A139" s="133">
        <v>41050000</v>
      </c>
      <c r="B139" s="157" t="s">
        <v>868</v>
      </c>
      <c r="C139" s="824">
        <f>C145+C144+C143+C140+C142+C141</f>
        <v>44927399</v>
      </c>
      <c r="D139" s="824">
        <f>D145+D144+D143+D140+D142+D141</f>
        <v>6378783</v>
      </c>
      <c r="E139" s="824">
        <f>E145+E144+E143+E140+E142+E141</f>
        <v>38548616</v>
      </c>
      <c r="F139" s="824">
        <f>F145+F144+F143+F140+F142+F141</f>
        <v>38548616</v>
      </c>
      <c r="G139" s="1429">
        <f t="shared" si="10"/>
        <v>128403414</v>
      </c>
      <c r="H139" s="1431"/>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row>
    <row r="140" spans="1:44" s="145" customFormat="1" ht="31.5" hidden="1">
      <c r="A140" s="462">
        <v>41051100</v>
      </c>
      <c r="B140" s="463" t="s">
        <v>432</v>
      </c>
      <c r="C140" s="476">
        <f t="shared" ref="C140:C145" si="11">E140+D140</f>
        <v>0</v>
      </c>
      <c r="D140" s="476"/>
      <c r="E140" s="476"/>
      <c r="F140" s="476">
        <f t="shared" ref="F140:F145" si="12">E140</f>
        <v>0</v>
      </c>
      <c r="G140" s="154">
        <f t="shared" si="10"/>
        <v>0</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row>
    <row r="141" spans="1:44" s="145" customFormat="1" ht="52.5" customHeight="1">
      <c r="A141" s="462">
        <v>41052400</v>
      </c>
      <c r="B141" s="463" t="s">
        <v>928</v>
      </c>
      <c r="C141" s="476">
        <f t="shared" si="11"/>
        <v>6019783</v>
      </c>
      <c r="D141" s="476">
        <f>585000+5434783</f>
        <v>6019783</v>
      </c>
      <c r="E141" s="476">
        <f>2470687+1695600-4166287</f>
        <v>0</v>
      </c>
      <c r="F141" s="476">
        <f t="shared" si="12"/>
        <v>0</v>
      </c>
      <c r="G141" s="1429">
        <f t="shared" si="10"/>
        <v>12039566</v>
      </c>
      <c r="H141" s="1431"/>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row>
    <row r="142" spans="1:44" s="145" customFormat="1" ht="71.25" hidden="1" customHeight="1">
      <c r="A142" s="462">
        <v>41053500</v>
      </c>
      <c r="B142" s="463" t="s">
        <v>927</v>
      </c>
      <c r="C142" s="476">
        <f t="shared" si="11"/>
        <v>0</v>
      </c>
      <c r="D142" s="476"/>
      <c r="E142" s="476"/>
      <c r="F142" s="476">
        <f t="shared" si="12"/>
        <v>0</v>
      </c>
      <c r="G142" s="154">
        <f t="shared" si="10"/>
        <v>0</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row>
    <row r="143" spans="1:44" s="145" customFormat="1" ht="31.5" hidden="1">
      <c r="A143" s="462">
        <v>41053600</v>
      </c>
      <c r="B143" s="463" t="s">
        <v>895</v>
      </c>
      <c r="C143" s="476">
        <f t="shared" si="11"/>
        <v>0</v>
      </c>
      <c r="D143" s="476"/>
      <c r="E143" s="476"/>
      <c r="F143" s="476">
        <f t="shared" si="12"/>
        <v>0</v>
      </c>
      <c r="G143" s="154">
        <f t="shared" si="10"/>
        <v>0</v>
      </c>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row>
    <row r="144" spans="1:44" s="145" customFormat="1" ht="31.5">
      <c r="A144" s="462">
        <v>41053700</v>
      </c>
      <c r="B144" s="463" t="s">
        <v>765</v>
      </c>
      <c r="C144" s="476">
        <f t="shared" si="11"/>
        <v>25729251</v>
      </c>
      <c r="D144" s="476"/>
      <c r="E144" s="476">
        <f>(180000+382000+1000000)+(1532933)+(9677478)+(4042052)+(4225069)+(5153724)-464005</f>
        <v>25729251</v>
      </c>
      <c r="F144" s="476">
        <f t="shared" si="12"/>
        <v>25729251</v>
      </c>
      <c r="G144" s="1429">
        <f t="shared" si="10"/>
        <v>77187753</v>
      </c>
      <c r="H144" s="1431"/>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row>
    <row r="145" spans="1:44" s="478" customFormat="1" ht="15.75">
      <c r="A145" s="462">
        <v>41053900</v>
      </c>
      <c r="B145" s="463" t="s">
        <v>402</v>
      </c>
      <c r="C145" s="476">
        <f t="shared" si="11"/>
        <v>13178365</v>
      </c>
      <c r="D145" s="476">
        <f>+(30000)+(329000)</f>
        <v>359000</v>
      </c>
      <c r="E145" s="476">
        <f>(3499000)+(735000)+(3568876)+(2934150)+(1271349)+810990</f>
        <v>12819365</v>
      </c>
      <c r="F145" s="476">
        <f t="shared" si="12"/>
        <v>12819365</v>
      </c>
      <c r="G145" s="1429">
        <f t="shared" si="10"/>
        <v>39176095</v>
      </c>
      <c r="H145" s="1433"/>
      <c r="I145" s="477"/>
      <c r="J145" s="477"/>
      <c r="K145" s="477"/>
      <c r="L145" s="477"/>
      <c r="M145" s="477"/>
      <c r="N145" s="477"/>
      <c r="O145" s="477"/>
      <c r="P145" s="477"/>
      <c r="Q145" s="477"/>
      <c r="R145" s="477"/>
      <c r="S145" s="477"/>
      <c r="T145" s="477"/>
      <c r="U145" s="477"/>
      <c r="V145" s="477"/>
      <c r="W145" s="477"/>
      <c r="X145" s="477"/>
      <c r="Y145" s="477"/>
      <c r="Z145" s="477"/>
      <c r="AA145" s="477"/>
      <c r="AB145" s="477"/>
      <c r="AC145" s="477"/>
      <c r="AD145" s="477"/>
      <c r="AE145" s="477"/>
      <c r="AF145" s="477"/>
      <c r="AG145" s="477"/>
      <c r="AH145" s="477"/>
      <c r="AI145" s="477"/>
      <c r="AJ145" s="477"/>
      <c r="AK145" s="477"/>
      <c r="AL145" s="477"/>
      <c r="AM145" s="477"/>
      <c r="AN145" s="477"/>
      <c r="AO145" s="477"/>
      <c r="AP145" s="477"/>
      <c r="AQ145" s="477"/>
      <c r="AR145" s="477"/>
    </row>
    <row r="146" spans="1:44" ht="31.5">
      <c r="A146" s="130">
        <v>42000000</v>
      </c>
      <c r="B146" s="351" t="s">
        <v>143</v>
      </c>
      <c r="C146" s="339">
        <f>C147</f>
        <v>55277.74</v>
      </c>
      <c r="D146" s="339">
        <f>D147</f>
        <v>0</v>
      </c>
      <c r="E146" s="339">
        <f>E147</f>
        <v>55277.74</v>
      </c>
      <c r="F146" s="131">
        <f>F147</f>
        <v>0</v>
      </c>
      <c r="G146" s="1429">
        <f t="shared" si="10"/>
        <v>110555.48</v>
      </c>
      <c r="H146" s="1428"/>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row>
    <row r="147" spans="1:44" ht="16.5" customHeight="1">
      <c r="A147" s="159">
        <v>42020000</v>
      </c>
      <c r="B147" s="173" t="s">
        <v>22</v>
      </c>
      <c r="C147" s="160">
        <f t="shared" ref="C147:C152" si="13">E147+D147</f>
        <v>55277.74</v>
      </c>
      <c r="D147" s="160"/>
      <c r="E147" s="160">
        <v>55277.74</v>
      </c>
      <c r="F147" s="140"/>
      <c r="G147" s="1429">
        <f t="shared" si="10"/>
        <v>110555.48</v>
      </c>
      <c r="H147" s="1428"/>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row>
    <row r="148" spans="1:44" ht="15.75" hidden="1">
      <c r="A148" s="130">
        <v>50000000</v>
      </c>
      <c r="B148" s="175" t="s">
        <v>150</v>
      </c>
      <c r="C148" s="131">
        <f t="shared" si="13"/>
        <v>0</v>
      </c>
      <c r="D148" s="131"/>
      <c r="E148" s="131">
        <f>+E149+E152</f>
        <v>0</v>
      </c>
      <c r="F148" s="131">
        <f>+F149+F152</f>
        <v>0</v>
      </c>
      <c r="G148" s="154">
        <f t="shared" si="10"/>
        <v>0</v>
      </c>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row>
    <row r="149" spans="1:44" ht="15.75" hidden="1">
      <c r="A149" s="129">
        <v>50080000</v>
      </c>
      <c r="B149" s="174" t="s">
        <v>23</v>
      </c>
      <c r="C149" s="131">
        <f t="shared" si="13"/>
        <v>0</v>
      </c>
      <c r="D149" s="140"/>
      <c r="E149" s="140">
        <f>E150+E151</f>
        <v>0</v>
      </c>
      <c r="F149" s="140"/>
      <c r="G149" s="154">
        <f t="shared" si="10"/>
        <v>0</v>
      </c>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row>
    <row r="150" spans="1:44" ht="31.5" hidden="1">
      <c r="A150" s="129">
        <v>50080200</v>
      </c>
      <c r="B150" s="176" t="s">
        <v>24</v>
      </c>
      <c r="C150" s="131">
        <f t="shared" si="13"/>
        <v>0</v>
      </c>
      <c r="D150" s="140"/>
      <c r="E150" s="140"/>
      <c r="F150" s="140"/>
      <c r="G150" s="154">
        <f t="shared" si="10"/>
        <v>0</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row>
    <row r="151" spans="1:44" ht="31.5" hidden="1">
      <c r="A151" s="129">
        <v>50080300</v>
      </c>
      <c r="B151" s="176" t="s">
        <v>213</v>
      </c>
      <c r="C151" s="131">
        <f t="shared" si="13"/>
        <v>0</v>
      </c>
      <c r="D151" s="140"/>
      <c r="E151" s="140"/>
      <c r="F151" s="140"/>
      <c r="G151" s="154">
        <f t="shared" si="10"/>
        <v>0</v>
      </c>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row>
    <row r="152" spans="1:44" ht="47.25" hidden="1">
      <c r="A152" s="129">
        <v>50110000</v>
      </c>
      <c r="B152" s="176" t="s">
        <v>192</v>
      </c>
      <c r="C152" s="131">
        <f t="shared" si="13"/>
        <v>0</v>
      </c>
      <c r="D152" s="140"/>
      <c r="E152" s="140"/>
      <c r="F152" s="140"/>
      <c r="G152" s="154">
        <f t="shared" si="10"/>
        <v>0</v>
      </c>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row>
    <row r="153" spans="1:44" ht="24" customHeight="1">
      <c r="A153" s="129" t="s">
        <v>994</v>
      </c>
      <c r="B153" s="175" t="s">
        <v>989</v>
      </c>
      <c r="C153" s="339">
        <f>+C9+C48+C84+C148+C80</f>
        <v>7470109978.7399998</v>
      </c>
      <c r="D153" s="339">
        <f>+D9+D48+D84+D148+D80</f>
        <v>6467576502</v>
      </c>
      <c r="E153" s="339">
        <f>+E9+E48+E84+E148+E80</f>
        <v>1002533476.74</v>
      </c>
      <c r="F153" s="339">
        <f>+F9+F48+F84+F148+F80</f>
        <v>38548616</v>
      </c>
      <c r="G153" s="1429">
        <f t="shared" si="10"/>
        <v>14978768573.48</v>
      </c>
      <c r="H153" s="1428"/>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row>
    <row r="154" spans="1:44" ht="15.75">
      <c r="A154" s="161"/>
      <c r="B154" s="177"/>
      <c r="C154" s="162"/>
      <c r="D154" s="162"/>
      <c r="E154" s="162"/>
      <c r="F154" s="162"/>
      <c r="G154" s="1429">
        <f t="shared" si="10"/>
        <v>0</v>
      </c>
      <c r="H154" s="1428"/>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row>
    <row r="155" spans="1:44" ht="18.75">
      <c r="A155" s="163" t="s">
        <v>211</v>
      </c>
      <c r="B155" s="163"/>
      <c r="C155" s="167"/>
      <c r="D155" s="168"/>
      <c r="E155" s="163" t="s">
        <v>934</v>
      </c>
      <c r="G155" s="1429">
        <f t="shared" si="10"/>
        <v>0</v>
      </c>
      <c r="H155" s="1428"/>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row>
    <row r="156" spans="1:44" ht="15.75">
      <c r="A156" s="129"/>
      <c r="B156" s="175"/>
      <c r="C156" s="339"/>
      <c r="D156" s="339"/>
      <c r="E156" s="339"/>
      <c r="F156" s="339"/>
      <c r="G156" s="1429">
        <f t="shared" si="10"/>
        <v>0</v>
      </c>
      <c r="H156" s="1428"/>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row>
    <row r="157" spans="1:44" hidden="1"/>
    <row r="158" spans="1:44" hidden="1">
      <c r="C158" s="123" t="b">
        <f>D153+E153=C153</f>
        <v>1</v>
      </c>
    </row>
    <row r="159" spans="1:44" ht="18.75" hidden="1">
      <c r="A159" s="163"/>
      <c r="B159" s="164"/>
      <c r="C159" s="165"/>
      <c r="D159" s="166"/>
      <c r="E159" s="166"/>
      <c r="F159" s="165"/>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row>
    <row r="160" spans="1:44" ht="42" hidden="1" customHeight="1">
      <c r="A160" s="163"/>
      <c r="B160" s="163"/>
      <c r="C160" s="162">
        <f>+C153-C84</f>
        <v>1277836147</v>
      </c>
      <c r="D160" s="162">
        <f>+D153-D84</f>
        <v>1089281664</v>
      </c>
      <c r="E160" s="162">
        <f>+E153-E84</f>
        <v>188554483</v>
      </c>
      <c r="F160" s="162">
        <f>+F153-F84</f>
        <v>0</v>
      </c>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row>
    <row r="161" spans="1:44" ht="12.6" hidden="1" customHeight="1">
      <c r="A161" s="169"/>
      <c r="B161" s="169"/>
      <c r="C161" s="169"/>
      <c r="D161" s="169"/>
      <c r="E161" s="169"/>
      <c r="F161" s="169"/>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row>
    <row r="162" spans="1:44" ht="12.6" hidden="1" customHeight="1">
      <c r="A162" s="169"/>
      <c r="B162" s="169"/>
      <c r="C162" s="169"/>
      <c r="D162" s="169"/>
      <c r="E162" s="169"/>
      <c r="F162" s="169"/>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row>
    <row r="163" spans="1:44" ht="12.6" hidden="1"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row>
    <row r="164" spans="1:44" ht="21" hidden="1" customHeight="1">
      <c r="A164" s="124"/>
      <c r="B164" s="163"/>
      <c r="C164" s="163">
        <v>633147107</v>
      </c>
      <c r="D164" s="124">
        <v>515715400</v>
      </c>
      <c r="E164" s="124">
        <v>117431707</v>
      </c>
      <c r="F164" s="163"/>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row>
    <row r="165" spans="1:44" hidden="1">
      <c r="A165" s="124"/>
      <c r="B165" s="124"/>
      <c r="C165" s="124"/>
      <c r="D165" s="15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row>
    <row r="166" spans="1:44" hidden="1">
      <c r="A166" s="124"/>
      <c r="B166" s="124"/>
      <c r="C166" s="154">
        <f>C160-C164</f>
        <v>644689040</v>
      </c>
      <c r="D166" s="154">
        <f>D160-D164</f>
        <v>573566264</v>
      </c>
      <c r="E166" s="154">
        <f>E160-E164</f>
        <v>71122776</v>
      </c>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row>
    <row r="167" spans="1:44" hidden="1">
      <c r="A167" s="124"/>
      <c r="B167" s="124"/>
      <c r="C167" s="154">
        <f>D9+D48</f>
        <v>1089281664</v>
      </c>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row>
    <row r="168" spans="1:44" hidden="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row>
    <row r="169" spans="1:44" hidden="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row>
    <row r="170" spans="1:44" hidden="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row>
    <row r="171" spans="1:44" hidden="1">
      <c r="A171" s="124"/>
      <c r="B171" s="124"/>
      <c r="C171" s="124">
        <v>6908669994.2600002</v>
      </c>
      <c r="D171" s="124">
        <v>6545017250</v>
      </c>
      <c r="E171" s="124">
        <v>363652744.25999999</v>
      </c>
      <c r="F171" s="124">
        <v>36963564</v>
      </c>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row>
    <row r="172" spans="1:44" hidden="1">
      <c r="A172" s="124"/>
      <c r="B172" s="124"/>
      <c r="C172" s="394">
        <f>C153-C171</f>
        <v>561439984.47999954</v>
      </c>
      <c r="D172" s="394">
        <f>D153-D171</f>
        <v>-77440748</v>
      </c>
      <c r="E172" s="394">
        <f>E153-E171</f>
        <v>638880732.48000002</v>
      </c>
      <c r="F172" s="394">
        <f>F153-F171</f>
        <v>1585052</v>
      </c>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row>
    <row r="173" spans="1:44" hidden="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row>
    <row r="174" spans="1:44" hidden="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row>
    <row r="175" spans="1:44" hidden="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row>
    <row r="176" spans="1:44" hidden="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row>
    <row r="177" spans="1:44" hidden="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row>
    <row r="178" spans="1:44" hidden="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row>
    <row r="179" spans="1:44" hidden="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row>
    <row r="180" spans="1:44" hidden="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row>
    <row r="181" spans="1:44" hidden="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row>
    <row r="182" spans="1:44" hidden="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row>
    <row r="183" spans="1:44" hidden="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row>
    <row r="184" spans="1:44" hidden="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row>
    <row r="185" spans="1:44" hidden="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row>
    <row r="186" spans="1:44" hidden="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row>
    <row r="187" spans="1:44" hidden="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row>
    <row r="188" spans="1:44" hidden="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row>
    <row r="189" spans="1:44" hidden="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row>
    <row r="190" spans="1:44" hidden="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row>
    <row r="191" spans="1:44" hidden="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row>
    <row r="192" spans="1:44" hidden="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row>
    <row r="193" spans="1:44" hidden="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row>
    <row r="194" spans="1:44" hidden="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row>
    <row r="195" spans="1:44" hidden="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row>
    <row r="196" spans="1:44" hidden="1">
      <c r="A196" s="124"/>
      <c r="B196" s="124"/>
      <c r="C196" s="124"/>
      <c r="D196" s="124"/>
      <c r="E196" s="170"/>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row>
    <row r="197" spans="1:44" hidden="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row>
    <row r="198" spans="1:44" hidden="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row>
    <row r="199" spans="1:44" hidden="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row>
    <row r="200" spans="1:44" hidden="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row>
    <row r="201" spans="1:44" hidden="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row>
    <row r="202" spans="1:44" hidden="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row>
    <row r="203" spans="1:44" hidden="1">
      <c r="C203" s="1173" t="b">
        <f>C83+C84=C153</f>
        <v>1</v>
      </c>
      <c r="D203" s="1173" t="b">
        <f>D83+D84=D153</f>
        <v>1</v>
      </c>
      <c r="E203" s="1173" t="b">
        <f>E83+E84=E153</f>
        <v>1</v>
      </c>
      <c r="F203" s="1173" t="b">
        <f>F83+F84=F153</f>
        <v>1</v>
      </c>
    </row>
    <row r="204" spans="1:44" hidden="1">
      <c r="C204" s="738">
        <f>C153-C156</f>
        <v>7470109978.7399998</v>
      </c>
      <c r="D204" s="738">
        <f>D153-D156</f>
        <v>6467576502</v>
      </c>
      <c r="E204" s="738">
        <f>E153-E156</f>
        <v>1002533476.74</v>
      </c>
      <c r="F204" s="738">
        <f>F153-F156</f>
        <v>38548616</v>
      </c>
    </row>
    <row r="205" spans="1:44">
      <c r="G205" s="1427"/>
      <c r="H205" s="1427"/>
    </row>
    <row r="207" spans="1:44">
      <c r="C207" s="738"/>
    </row>
  </sheetData>
  <autoFilter ref="G1:G204">
    <filterColumn colId="0">
      <customFilters and="1">
        <customFilter operator="greaterThan" val="0"/>
      </customFilters>
    </filterColumn>
  </autoFilter>
  <mergeCells count="6">
    <mergeCell ref="C6:C7"/>
    <mergeCell ref="A4:E4"/>
    <mergeCell ref="E6:F6"/>
    <mergeCell ref="B6:B7"/>
    <mergeCell ref="D6:D7"/>
    <mergeCell ref="A6:A7"/>
  </mergeCells>
  <phoneticPr fontId="0" type="noConversion"/>
  <pageMargins left="0.78740157480314965" right="0.18" top="0.24" bottom="0.19685039370078741" header="0.2" footer="0.19685039370078741"/>
  <pageSetup paperSize="9" scale="6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L172"/>
  <sheetViews>
    <sheetView view="pageBreakPreview" zoomScale="75" zoomScaleNormal="65" zoomScaleSheetLayoutView="75" workbookViewId="0">
      <pane xSplit="2" ySplit="7" topLeftCell="C140" activePane="bottomRight" state="frozen"/>
      <selection pane="topRight" activeCell="C1" sqref="C1"/>
      <selection pane="bottomLeft" activeCell="A8" sqref="A8"/>
      <selection pane="bottomRight" activeCell="D166" sqref="D166"/>
    </sheetView>
  </sheetViews>
  <sheetFormatPr defaultRowHeight="18.75"/>
  <cols>
    <col min="1" max="1" width="26.85546875" style="222" customWidth="1"/>
    <col min="2" max="2" width="44.42578125" style="418" customWidth="1"/>
    <col min="3" max="3" width="20.7109375" style="418" customWidth="1"/>
    <col min="4" max="4" width="22.5703125" style="418" customWidth="1"/>
    <col min="5" max="5" width="21.5703125" style="92" customWidth="1"/>
    <col min="6" max="6" width="16.85546875" style="7" hidden="1" customWidth="1"/>
    <col min="7" max="7" width="13.7109375" style="7" hidden="1" customWidth="1"/>
    <col min="8" max="8" width="16.42578125" style="7" customWidth="1"/>
    <col min="9" max="9" width="17.140625" style="7" customWidth="1"/>
    <col min="10" max="16384" width="9.140625" style="7"/>
  </cols>
  <sheetData>
    <row r="1" spans="1:38" s="1170" customFormat="1" ht="20.25" customHeight="1">
      <c r="A1" s="1155"/>
      <c r="B1" s="1156"/>
      <c r="C1" s="1156"/>
      <c r="D1" s="1157" t="s">
        <v>92</v>
      </c>
      <c r="E1" s="1158"/>
      <c r="F1" s="104"/>
      <c r="G1" s="18"/>
      <c r="H1" s="1169"/>
      <c r="I1" s="1169">
        <v>1</v>
      </c>
      <c r="J1" s="1169"/>
      <c r="K1" s="1169"/>
      <c r="L1" s="1169"/>
      <c r="M1" s="1169"/>
      <c r="N1" s="1169"/>
      <c r="O1" s="1169"/>
      <c r="P1" s="1169"/>
      <c r="Q1" s="1169"/>
      <c r="R1" s="1169"/>
      <c r="S1" s="1169"/>
      <c r="T1" s="1169"/>
      <c r="U1" s="1169"/>
      <c r="V1" s="1169"/>
      <c r="W1" s="1169"/>
      <c r="X1" s="1169"/>
      <c r="Y1" s="1169"/>
      <c r="Z1" s="1169"/>
      <c r="AA1" s="1169"/>
      <c r="AB1" s="1169"/>
      <c r="AC1" s="1169"/>
      <c r="AD1" s="1169"/>
      <c r="AE1" s="1169"/>
      <c r="AF1" s="1169"/>
      <c r="AG1" s="1169"/>
      <c r="AH1" s="1169"/>
      <c r="AI1" s="1169"/>
      <c r="AJ1" s="1169"/>
      <c r="AK1" s="1169"/>
      <c r="AL1" s="1169"/>
    </row>
    <row r="2" spans="1:38" s="1170" customFormat="1">
      <c r="A2" s="1159"/>
      <c r="B2" s="1160"/>
      <c r="C2" s="1160"/>
      <c r="D2" s="1157" t="s">
        <v>368</v>
      </c>
      <c r="E2" s="1158"/>
      <c r="F2" s="104"/>
      <c r="G2" s="18"/>
      <c r="H2" s="1434"/>
      <c r="I2" s="1434">
        <v>1</v>
      </c>
      <c r="J2" s="1434"/>
      <c r="K2" s="1434"/>
      <c r="L2" s="1434"/>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c r="AJ2" s="1169"/>
      <c r="AK2" s="1169"/>
      <c r="AL2" s="1169"/>
    </row>
    <row r="3" spans="1:38" s="1170" customFormat="1">
      <c r="A3" s="1159"/>
      <c r="B3" s="1160"/>
      <c r="C3" s="1160"/>
      <c r="D3" s="1157" t="s">
        <v>2153</v>
      </c>
      <c r="E3" s="1158"/>
      <c r="F3" s="104"/>
      <c r="G3" s="18"/>
      <c r="H3" s="1434"/>
      <c r="I3" s="1434">
        <v>1</v>
      </c>
      <c r="J3" s="1434"/>
      <c r="K3" s="1434"/>
      <c r="L3" s="1434"/>
      <c r="M3" s="1169"/>
      <c r="N3" s="1169"/>
      <c r="O3" s="1169"/>
      <c r="P3" s="1169"/>
      <c r="Q3" s="1169"/>
      <c r="R3" s="1169"/>
      <c r="S3" s="1169"/>
      <c r="T3" s="1169"/>
      <c r="U3" s="1169"/>
      <c r="V3" s="1169"/>
      <c r="W3" s="1169"/>
      <c r="X3" s="1169"/>
      <c r="Y3" s="1169"/>
      <c r="Z3" s="1169"/>
      <c r="AA3" s="1169"/>
      <c r="AB3" s="1169"/>
      <c r="AC3" s="1169"/>
      <c r="AD3" s="1169"/>
      <c r="AE3" s="1169"/>
      <c r="AF3" s="1169"/>
      <c r="AG3" s="1169"/>
      <c r="AH3" s="1169"/>
      <c r="AI3" s="1169"/>
      <c r="AJ3" s="1169"/>
      <c r="AK3" s="1169"/>
      <c r="AL3" s="1169"/>
    </row>
    <row r="4" spans="1:38" s="1170" customFormat="1" ht="38.450000000000003" customHeight="1">
      <c r="A4" s="1560" t="s">
        <v>959</v>
      </c>
      <c r="B4" s="1560"/>
      <c r="C4" s="1560"/>
      <c r="D4" s="1560"/>
      <c r="E4" s="1561"/>
      <c r="F4" s="1562"/>
      <c r="G4" s="5"/>
      <c r="H4" s="1434"/>
      <c r="I4" s="1434">
        <v>1</v>
      </c>
      <c r="J4" s="1434"/>
      <c r="K4" s="1434"/>
      <c r="L4" s="1434"/>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1169"/>
      <c r="AJ4" s="1169"/>
      <c r="AK4" s="1169"/>
      <c r="AL4" s="1169"/>
    </row>
    <row r="5" spans="1:38" s="1171" customFormat="1" ht="22.5">
      <c r="A5" s="1161"/>
      <c r="B5" s="1162"/>
      <c r="C5" s="1162"/>
      <c r="D5" s="1162"/>
      <c r="E5" s="1163" t="s">
        <v>982</v>
      </c>
      <c r="F5" s="105"/>
      <c r="G5" s="106"/>
      <c r="H5" s="1435"/>
      <c r="I5" s="1435">
        <v>1</v>
      </c>
      <c r="J5" s="1435"/>
      <c r="K5" s="1435"/>
      <c r="L5" s="1435"/>
    </row>
    <row r="6" spans="1:38" s="1171" customFormat="1" ht="130.9" customHeight="1">
      <c r="A6" s="1164" t="s">
        <v>93</v>
      </c>
      <c r="B6" s="1165" t="s">
        <v>83</v>
      </c>
      <c r="C6" s="1165" t="s">
        <v>984</v>
      </c>
      <c r="D6" s="1166" t="s">
        <v>64</v>
      </c>
      <c r="E6" s="1166" t="s">
        <v>65</v>
      </c>
      <c r="F6" s="105"/>
      <c r="G6" s="106"/>
      <c r="H6" s="1435"/>
      <c r="I6" s="1435">
        <v>1</v>
      </c>
      <c r="J6" s="1435"/>
      <c r="K6" s="1435"/>
      <c r="L6" s="1438"/>
    </row>
    <row r="7" spans="1:38" s="1171" customFormat="1">
      <c r="A7" s="1167">
        <v>1</v>
      </c>
      <c r="B7" s="1168">
        <v>2</v>
      </c>
      <c r="C7" s="1168">
        <v>3</v>
      </c>
      <c r="D7" s="1165">
        <v>4</v>
      </c>
      <c r="E7" s="1166">
        <v>5</v>
      </c>
      <c r="F7" s="105"/>
      <c r="G7" s="106"/>
      <c r="H7" s="1435"/>
      <c r="I7" s="1435">
        <v>1</v>
      </c>
      <c r="J7" s="1435"/>
      <c r="K7" s="1435"/>
      <c r="L7" s="1435"/>
    </row>
    <row r="8" spans="1:38" ht="93.75">
      <c r="A8" s="1553" t="s">
        <v>1129</v>
      </c>
      <c r="B8" s="1192" t="s">
        <v>1267</v>
      </c>
      <c r="C8" s="1185">
        <v>250000</v>
      </c>
      <c r="D8" s="1185"/>
      <c r="E8" s="1185">
        <v>250000</v>
      </c>
      <c r="F8" s="1177"/>
      <c r="G8" s="1177"/>
      <c r="H8" s="1436">
        <f>E8+D8-C8</f>
        <v>0</v>
      </c>
      <c r="I8" s="1436">
        <f>SUM(C8:E8)</f>
        <v>500000</v>
      </c>
      <c r="J8" s="1435"/>
      <c r="K8" s="1435"/>
      <c r="L8" s="1435"/>
    </row>
    <row r="9" spans="1:38" ht="75">
      <c r="A9" s="1554"/>
      <c r="B9" s="425" t="s">
        <v>1268</v>
      </c>
      <c r="C9" s="561">
        <v>720000</v>
      </c>
      <c r="D9" s="493"/>
      <c r="E9" s="561">
        <v>720000</v>
      </c>
      <c r="F9" s="115"/>
      <c r="G9" s="115"/>
      <c r="H9" s="1436">
        <f t="shared" ref="H9:H73" si="0">E9+D9-C9</f>
        <v>0</v>
      </c>
      <c r="I9" s="1436">
        <f t="shared" ref="I9:I73" si="1">SUM(C9:E9)</f>
        <v>1440000</v>
      </c>
      <c r="J9" s="1435"/>
      <c r="K9" s="1435"/>
      <c r="L9" s="1435"/>
    </row>
    <row r="10" spans="1:38" hidden="1">
      <c r="A10" s="1554"/>
      <c r="B10" s="1110"/>
      <c r="C10" s="561"/>
      <c r="D10" s="561"/>
      <c r="E10" s="561"/>
      <c r="F10" s="822"/>
      <c r="G10" s="822"/>
      <c r="H10" s="178">
        <f t="shared" si="0"/>
        <v>0</v>
      </c>
      <c r="I10" s="1178">
        <f t="shared" si="1"/>
        <v>0</v>
      </c>
    </row>
    <row r="11" spans="1:38">
      <c r="A11" s="1555"/>
      <c r="B11" s="428" t="s">
        <v>985</v>
      </c>
      <c r="C11" s="559">
        <f>SUM(C8:C10)</f>
        <v>970000</v>
      </c>
      <c r="D11" s="559">
        <f>SUM(D8:D10)</f>
        <v>0</v>
      </c>
      <c r="E11" s="559">
        <f>SUM(E8:E10)</f>
        <v>970000</v>
      </c>
      <c r="F11" s="115"/>
      <c r="G11" s="115"/>
      <c r="H11" s="1436">
        <f t="shared" si="0"/>
        <v>0</v>
      </c>
      <c r="I11" s="1436">
        <f t="shared" si="1"/>
        <v>1940000</v>
      </c>
      <c r="J11" s="1435"/>
      <c r="K11" s="1435"/>
      <c r="L11" s="1435"/>
    </row>
    <row r="12" spans="1:38" hidden="1">
      <c r="A12" s="1553" t="s">
        <v>2072</v>
      </c>
      <c r="B12" s="1378"/>
      <c r="C12" s="1388"/>
      <c r="D12" s="1392"/>
      <c r="E12" s="1392"/>
      <c r="F12" s="115"/>
      <c r="G12" s="115"/>
      <c r="H12" s="178">
        <f t="shared" si="0"/>
        <v>0</v>
      </c>
      <c r="I12" s="1178">
        <f t="shared" si="1"/>
        <v>0</v>
      </c>
    </row>
    <row r="13" spans="1:38" hidden="1">
      <c r="A13" s="1554"/>
      <c r="B13" s="517"/>
      <c r="C13" s="558"/>
      <c r="D13" s="558"/>
      <c r="E13" s="558"/>
      <c r="F13" s="115"/>
      <c r="G13" s="115"/>
      <c r="H13" s="178">
        <f t="shared" si="0"/>
        <v>0</v>
      </c>
      <c r="I13" s="1178">
        <f t="shared" si="1"/>
        <v>0</v>
      </c>
    </row>
    <row r="14" spans="1:38" hidden="1">
      <c r="A14" s="1555"/>
      <c r="B14" s="428" t="s">
        <v>985</v>
      </c>
      <c r="C14" s="559">
        <f>C12</f>
        <v>0</v>
      </c>
      <c r="D14" s="559">
        <f>D12</f>
        <v>0</v>
      </c>
      <c r="E14" s="559">
        <f>E12</f>
        <v>0</v>
      </c>
      <c r="F14" s="115"/>
      <c r="G14" s="115"/>
      <c r="H14" s="178">
        <f t="shared" si="0"/>
        <v>0</v>
      </c>
      <c r="I14" s="1178">
        <f t="shared" si="1"/>
        <v>0</v>
      </c>
    </row>
    <row r="15" spans="1:38" ht="75">
      <c r="A15" s="1553" t="s">
        <v>1116</v>
      </c>
      <c r="B15" s="1180" t="s">
        <v>1263</v>
      </c>
      <c r="C15" s="1181">
        <v>320000</v>
      </c>
      <c r="D15" s="1181"/>
      <c r="E15" s="1181">
        <v>320000</v>
      </c>
      <c r="F15" s="1177"/>
      <c r="G15" s="1177"/>
      <c r="H15" s="1436">
        <f t="shared" si="0"/>
        <v>0</v>
      </c>
      <c r="I15" s="1436">
        <f t="shared" si="1"/>
        <v>640000</v>
      </c>
      <c r="J15" s="1435"/>
      <c r="K15" s="1435"/>
      <c r="L15" s="1435"/>
    </row>
    <row r="16" spans="1:38">
      <c r="A16" s="1555"/>
      <c r="B16" s="428" t="s">
        <v>985</v>
      </c>
      <c r="C16" s="559">
        <f>C15</f>
        <v>320000</v>
      </c>
      <c r="D16" s="559">
        <f>D15</f>
        <v>0</v>
      </c>
      <c r="E16" s="559">
        <f>E15</f>
        <v>320000</v>
      </c>
      <c r="F16" s="115"/>
      <c r="G16" s="115"/>
      <c r="H16" s="1436">
        <f t="shared" si="0"/>
        <v>0</v>
      </c>
      <c r="I16" s="1436">
        <f t="shared" si="1"/>
        <v>640000</v>
      </c>
      <c r="J16" s="1435"/>
      <c r="K16" s="1435"/>
      <c r="L16" s="1435"/>
    </row>
    <row r="17" spans="1:12" ht="37.5">
      <c r="A17" s="1553" t="s">
        <v>1107</v>
      </c>
      <c r="B17" s="1378" t="s">
        <v>2070</v>
      </c>
      <c r="C17" s="1388">
        <v>11000</v>
      </c>
      <c r="D17" s="1388"/>
      <c r="E17" s="1388">
        <v>11000</v>
      </c>
      <c r="F17" s="115"/>
      <c r="G17" s="115"/>
      <c r="H17" s="1436">
        <f t="shared" si="0"/>
        <v>0</v>
      </c>
      <c r="I17" s="1436">
        <f t="shared" si="1"/>
        <v>22000</v>
      </c>
      <c r="J17" s="1435"/>
      <c r="K17" s="1435"/>
      <c r="L17" s="1435"/>
    </row>
    <row r="18" spans="1:12" ht="115.15" customHeight="1">
      <c r="A18" s="1554"/>
      <c r="B18" s="1378" t="s">
        <v>2071</v>
      </c>
      <c r="C18" s="1388">
        <v>1868043</v>
      </c>
      <c r="D18" s="1388"/>
      <c r="E18" s="1388">
        <v>1868043</v>
      </c>
      <c r="F18" s="115"/>
      <c r="G18" s="115"/>
      <c r="H18" s="1436">
        <f t="shared" si="0"/>
        <v>0</v>
      </c>
      <c r="I18" s="1436">
        <f t="shared" si="1"/>
        <v>3736086</v>
      </c>
      <c r="J18" s="1435"/>
      <c r="K18" s="1435"/>
      <c r="L18" s="1435"/>
    </row>
    <row r="19" spans="1:12" ht="22.15" customHeight="1">
      <c r="A19" s="1555"/>
      <c r="B19" s="428" t="s">
        <v>985</v>
      </c>
      <c r="C19" s="559">
        <f>C18+C17</f>
        <v>1879043</v>
      </c>
      <c r="D19" s="559">
        <f>D18+D17</f>
        <v>0</v>
      </c>
      <c r="E19" s="559">
        <f>E18+E17</f>
        <v>1879043</v>
      </c>
      <c r="F19" s="115"/>
      <c r="G19" s="115"/>
      <c r="H19" s="1436">
        <f t="shared" si="0"/>
        <v>0</v>
      </c>
      <c r="I19" s="1436">
        <f t="shared" si="1"/>
        <v>3758086</v>
      </c>
      <c r="J19" s="1435"/>
      <c r="K19" s="1435"/>
      <c r="L19" s="1435"/>
    </row>
    <row r="20" spans="1:12" ht="93.75">
      <c r="A20" s="1558" t="s">
        <v>1117</v>
      </c>
      <c r="B20" s="425" t="s">
        <v>1890</v>
      </c>
      <c r="C20" s="561">
        <v>256847</v>
      </c>
      <c r="D20" s="561"/>
      <c r="E20" s="561">
        <v>256847</v>
      </c>
      <c r="F20" s="178">
        <v>0</v>
      </c>
      <c r="G20" s="178">
        <v>0</v>
      </c>
      <c r="H20" s="1436">
        <f t="shared" si="0"/>
        <v>0</v>
      </c>
      <c r="I20" s="1436">
        <f t="shared" si="1"/>
        <v>513694</v>
      </c>
      <c r="J20" s="1435"/>
      <c r="K20" s="1435"/>
      <c r="L20" s="1435"/>
    </row>
    <row r="21" spans="1:12" ht="112.5">
      <c r="A21" s="1558"/>
      <c r="B21" s="425" t="s">
        <v>1182</v>
      </c>
      <c r="C21" s="561">
        <v>168969</v>
      </c>
      <c r="D21" s="561"/>
      <c r="E21" s="561">
        <v>168969</v>
      </c>
      <c r="F21" s="178">
        <v>0</v>
      </c>
      <c r="G21" s="178">
        <v>0</v>
      </c>
      <c r="H21" s="1436">
        <f t="shared" si="0"/>
        <v>0</v>
      </c>
      <c r="I21" s="1436">
        <f t="shared" si="1"/>
        <v>337938</v>
      </c>
      <c r="J21" s="1435"/>
      <c r="K21" s="1435"/>
      <c r="L21" s="1435"/>
    </row>
    <row r="22" spans="1:12" ht="281.25">
      <c r="A22" s="1558"/>
      <c r="B22" s="1187" t="s">
        <v>887</v>
      </c>
      <c r="C22" s="1185">
        <v>188595</v>
      </c>
      <c r="D22" s="1185"/>
      <c r="E22" s="1185">
        <v>188595</v>
      </c>
      <c r="F22" s="1178"/>
      <c r="G22" s="1178"/>
      <c r="H22" s="1436">
        <f t="shared" si="0"/>
        <v>0</v>
      </c>
      <c r="I22" s="1436">
        <f t="shared" si="1"/>
        <v>377190</v>
      </c>
      <c r="J22" s="1435"/>
      <c r="K22" s="1435"/>
      <c r="L22" s="1435"/>
    </row>
    <row r="23" spans="1:12" ht="112.5">
      <c r="A23" s="1558"/>
      <c r="B23" s="1187" t="s">
        <v>1182</v>
      </c>
      <c r="C23" s="1185">
        <v>169000</v>
      </c>
      <c r="D23" s="1185"/>
      <c r="E23" s="1185">
        <v>169000</v>
      </c>
      <c r="F23" s="1178"/>
      <c r="G23" s="1178"/>
      <c r="H23" s="1436">
        <f t="shared" si="0"/>
        <v>0</v>
      </c>
      <c r="I23" s="1436">
        <f t="shared" si="1"/>
        <v>338000</v>
      </c>
      <c r="J23" s="1435"/>
      <c r="K23" s="1435"/>
      <c r="L23" s="1435"/>
    </row>
    <row r="24" spans="1:12">
      <c r="A24" s="1558"/>
      <c r="B24" s="428" t="s">
        <v>985</v>
      </c>
      <c r="C24" s="560">
        <f>SUBTOTAL(9,C20:C23)</f>
        <v>783411</v>
      </c>
      <c r="D24" s="560">
        <f>SUBTOTAL(9,D20:D23)</f>
        <v>0</v>
      </c>
      <c r="E24" s="560">
        <f>SUBTOTAL(9,E20:E23)</f>
        <v>783411</v>
      </c>
      <c r="F24" s="178">
        <v>0</v>
      </c>
      <c r="G24" s="178">
        <v>66800</v>
      </c>
      <c r="H24" s="1436">
        <f t="shared" si="0"/>
        <v>0</v>
      </c>
      <c r="I24" s="1436">
        <f t="shared" si="1"/>
        <v>1566822</v>
      </c>
      <c r="J24" s="1435"/>
      <c r="K24" s="1435"/>
      <c r="L24" s="1435"/>
    </row>
    <row r="25" spans="1:12" ht="56.25">
      <c r="A25" s="1558" t="s">
        <v>1104</v>
      </c>
      <c r="B25" s="1187" t="s">
        <v>1261</v>
      </c>
      <c r="C25" s="1188">
        <v>300000</v>
      </c>
      <c r="D25" s="1188"/>
      <c r="E25" s="1176">
        <v>300000</v>
      </c>
      <c r="F25" s="1177"/>
      <c r="G25" s="1177"/>
      <c r="H25" s="1436">
        <f t="shared" si="0"/>
        <v>0</v>
      </c>
      <c r="I25" s="1436">
        <f t="shared" si="1"/>
        <v>600000</v>
      </c>
      <c r="J25" s="1435"/>
      <c r="K25" s="1435"/>
      <c r="L25" s="1435"/>
    </row>
    <row r="26" spans="1:12" hidden="1">
      <c r="A26" s="1558"/>
      <c r="B26" s="524"/>
      <c r="C26" s="528"/>
      <c r="D26" s="528"/>
      <c r="E26" s="529"/>
      <c r="F26" s="115"/>
      <c r="G26" s="115"/>
      <c r="H26" s="178">
        <f t="shared" si="0"/>
        <v>0</v>
      </c>
      <c r="I26" s="1178">
        <f t="shared" si="1"/>
        <v>0</v>
      </c>
    </row>
    <row r="27" spans="1:12" hidden="1">
      <c r="A27" s="1558"/>
      <c r="B27" s="431"/>
      <c r="C27" s="584"/>
      <c r="D27" s="584"/>
      <c r="E27" s="584"/>
      <c r="F27" s="115"/>
      <c r="G27" s="115"/>
      <c r="H27" s="178">
        <f t="shared" si="0"/>
        <v>0</v>
      </c>
      <c r="I27" s="1178">
        <f t="shared" si="1"/>
        <v>0</v>
      </c>
    </row>
    <row r="28" spans="1:12">
      <c r="A28" s="1558"/>
      <c r="B28" s="428" t="s">
        <v>985</v>
      </c>
      <c r="C28" s="560">
        <f>SUM(C25:C27)</f>
        <v>300000</v>
      </c>
      <c r="D28" s="560">
        <f>SUM(D25:D27)</f>
        <v>0</v>
      </c>
      <c r="E28" s="581">
        <f>SUM(E25:E27)</f>
        <v>300000</v>
      </c>
      <c r="F28" s="115"/>
      <c r="G28" s="115"/>
      <c r="H28" s="1436">
        <f t="shared" si="0"/>
        <v>0</v>
      </c>
      <c r="I28" s="1436">
        <f t="shared" si="1"/>
        <v>600000</v>
      </c>
      <c r="J28" s="1435"/>
      <c r="K28" s="1435"/>
      <c r="L28" s="1435"/>
    </row>
    <row r="29" spans="1:12" hidden="1">
      <c r="A29" s="1553" t="s">
        <v>894</v>
      </c>
      <c r="B29" s="425"/>
      <c r="C29" s="1111"/>
      <c r="D29" s="1111"/>
      <c r="E29" s="589"/>
      <c r="F29" s="115"/>
      <c r="G29" s="115"/>
      <c r="H29" s="178">
        <f t="shared" si="0"/>
        <v>0</v>
      </c>
      <c r="I29" s="1178">
        <f t="shared" si="1"/>
        <v>0</v>
      </c>
    </row>
    <row r="30" spans="1:12" hidden="1">
      <c r="A30" s="1555"/>
      <c r="B30" s="428" t="s">
        <v>985</v>
      </c>
      <c r="C30" s="559">
        <f>C29</f>
        <v>0</v>
      </c>
      <c r="D30" s="559">
        <f>D29</f>
        <v>0</v>
      </c>
      <c r="E30" s="559">
        <f>E29</f>
        <v>0</v>
      </c>
      <c r="F30" s="115"/>
      <c r="G30" s="115"/>
      <c r="H30" s="178">
        <f t="shared" si="0"/>
        <v>0</v>
      </c>
      <c r="I30" s="1178">
        <f t="shared" si="1"/>
        <v>0</v>
      </c>
    </row>
    <row r="31" spans="1:12" hidden="1">
      <c r="A31" s="1553"/>
      <c r="B31" s="1378"/>
      <c r="C31" s="1379"/>
      <c r="D31" s="1379"/>
      <c r="E31" s="1379"/>
      <c r="F31" s="115"/>
      <c r="G31" s="115"/>
      <c r="H31" s="178">
        <f t="shared" si="0"/>
        <v>0</v>
      </c>
      <c r="I31" s="1178">
        <f t="shared" si="1"/>
        <v>0</v>
      </c>
    </row>
    <row r="32" spans="1:12" hidden="1">
      <c r="A32" s="1555"/>
      <c r="B32" s="428" t="s">
        <v>985</v>
      </c>
      <c r="C32" s="559">
        <f>C31</f>
        <v>0</v>
      </c>
      <c r="D32" s="559">
        <f>D31</f>
        <v>0</v>
      </c>
      <c r="E32" s="559">
        <f>E31</f>
        <v>0</v>
      </c>
      <c r="F32" s="115"/>
      <c r="G32" s="115"/>
      <c r="H32" s="178">
        <f t="shared" si="0"/>
        <v>0</v>
      </c>
      <c r="I32" s="1178">
        <f t="shared" si="1"/>
        <v>0</v>
      </c>
    </row>
    <row r="33" spans="1:12" s="611" customFormat="1" ht="112.5">
      <c r="A33" s="1553" t="s">
        <v>1095</v>
      </c>
      <c r="B33" s="1378" t="s">
        <v>2047</v>
      </c>
      <c r="C33" s="1379">
        <v>1378539</v>
      </c>
      <c r="D33" s="1379"/>
      <c r="E33" s="1380">
        <v>1378539</v>
      </c>
      <c r="F33" s="1381"/>
      <c r="G33" s="1381"/>
      <c r="H33" s="1436">
        <f t="shared" si="0"/>
        <v>0</v>
      </c>
      <c r="I33" s="1436">
        <f t="shared" si="1"/>
        <v>2757078</v>
      </c>
      <c r="J33" s="1435"/>
      <c r="K33" s="1435"/>
      <c r="L33" s="1435"/>
    </row>
    <row r="34" spans="1:12" ht="75">
      <c r="A34" s="1554"/>
      <c r="B34" s="1378" t="s">
        <v>2048</v>
      </c>
      <c r="C34" s="1379">
        <v>1232840</v>
      </c>
      <c r="D34" s="1379"/>
      <c r="E34" s="1380">
        <v>1232840</v>
      </c>
      <c r="F34" s="1381"/>
      <c r="G34" s="1381"/>
      <c r="H34" s="1436">
        <f t="shared" si="0"/>
        <v>0</v>
      </c>
      <c r="I34" s="1436">
        <f t="shared" si="1"/>
        <v>2465680</v>
      </c>
      <c r="J34" s="1435"/>
      <c r="K34" s="1435"/>
      <c r="L34" s="1435"/>
    </row>
    <row r="35" spans="1:12" hidden="1">
      <c r="A35" s="1554"/>
      <c r="B35" s="425"/>
      <c r="C35" s="577"/>
      <c r="D35" s="577"/>
      <c r="E35" s="510"/>
      <c r="F35" s="245"/>
      <c r="G35" s="245"/>
      <c r="H35" s="178">
        <f t="shared" si="0"/>
        <v>0</v>
      </c>
      <c r="I35" s="1178">
        <f t="shared" si="1"/>
        <v>0</v>
      </c>
    </row>
    <row r="36" spans="1:12">
      <c r="A36" s="1555"/>
      <c r="B36" s="428" t="s">
        <v>985</v>
      </c>
      <c r="C36" s="559">
        <f>SUM(C33:C35)</f>
        <v>2611379</v>
      </c>
      <c r="D36" s="559">
        <f>SUM(D33:D35)</f>
        <v>0</v>
      </c>
      <c r="E36" s="559">
        <f>SUM(E33:E35)</f>
        <v>2611379</v>
      </c>
      <c r="F36" s="115"/>
      <c r="G36" s="115"/>
      <c r="H36" s="1436">
        <f t="shared" si="0"/>
        <v>0</v>
      </c>
      <c r="I36" s="1436">
        <f t="shared" si="1"/>
        <v>5222758</v>
      </c>
      <c r="J36" s="1435"/>
      <c r="K36" s="1435"/>
      <c r="L36" s="1435"/>
    </row>
    <row r="37" spans="1:12" ht="112.5">
      <c r="A37" s="1553" t="s">
        <v>1140</v>
      </c>
      <c r="B37" s="1174" t="s">
        <v>1240</v>
      </c>
      <c r="C37" s="510">
        <v>1402052</v>
      </c>
      <c r="D37" s="510"/>
      <c r="E37" s="510">
        <v>1402052</v>
      </c>
      <c r="F37" s="822"/>
      <c r="G37" s="822"/>
      <c r="H37" s="1436">
        <f t="shared" si="0"/>
        <v>0</v>
      </c>
      <c r="I37" s="1436">
        <f t="shared" si="1"/>
        <v>2804104</v>
      </c>
      <c r="J37" s="1435"/>
      <c r="K37" s="1435"/>
      <c r="L37" s="1435"/>
    </row>
    <row r="38" spans="1:12">
      <c r="A38" s="1555"/>
      <c r="B38" s="428" t="s">
        <v>985</v>
      </c>
      <c r="C38" s="559">
        <f>SUM(C37:C37)</f>
        <v>1402052</v>
      </c>
      <c r="D38" s="559">
        <f>SUM(D37:D37)</f>
        <v>0</v>
      </c>
      <c r="E38" s="559">
        <f>SUM(E37:E37)</f>
        <v>1402052</v>
      </c>
      <c r="F38" s="115"/>
      <c r="G38" s="115"/>
      <c r="H38" s="1436">
        <f t="shared" si="0"/>
        <v>0</v>
      </c>
      <c r="I38" s="1436">
        <f t="shared" si="1"/>
        <v>2804104</v>
      </c>
      <c r="J38" s="1435"/>
      <c r="K38" s="1435"/>
      <c r="L38" s="1435"/>
    </row>
    <row r="39" spans="1:12" ht="75">
      <c r="A39" s="1553" t="s">
        <v>1124</v>
      </c>
      <c r="B39" s="425" t="s">
        <v>1183</v>
      </c>
      <c r="C39" s="561">
        <v>410898</v>
      </c>
      <c r="D39" s="493"/>
      <c r="E39" s="561">
        <v>410898</v>
      </c>
      <c r="F39" s="115"/>
      <c r="G39" s="115"/>
      <c r="H39" s="1436">
        <f t="shared" si="0"/>
        <v>0</v>
      </c>
      <c r="I39" s="1436">
        <f t="shared" si="1"/>
        <v>821796</v>
      </c>
      <c r="J39" s="1435"/>
      <c r="K39" s="1435"/>
      <c r="L39" s="1435"/>
    </row>
    <row r="40" spans="1:12" ht="75">
      <c r="A40" s="1554"/>
      <c r="B40" s="425" t="s">
        <v>1184</v>
      </c>
      <c r="C40" s="561">
        <v>156219</v>
      </c>
      <c r="D40" s="493"/>
      <c r="E40" s="561">
        <v>156219</v>
      </c>
      <c r="F40" s="115"/>
      <c r="G40" s="115"/>
      <c r="H40" s="1436">
        <f t="shared" si="0"/>
        <v>0</v>
      </c>
      <c r="I40" s="1436">
        <f t="shared" si="1"/>
        <v>312438</v>
      </c>
      <c r="J40" s="1435"/>
      <c r="K40" s="1435"/>
      <c r="L40" s="1435"/>
    </row>
    <row r="41" spans="1:12" ht="112.5">
      <c r="A41" s="1554"/>
      <c r="B41" s="1154" t="s">
        <v>1212</v>
      </c>
      <c r="C41" s="590">
        <v>720000</v>
      </c>
      <c r="D41" s="590"/>
      <c r="E41" s="590">
        <v>720000</v>
      </c>
      <c r="F41" s="115"/>
      <c r="G41" s="115"/>
      <c r="H41" s="1436">
        <f t="shared" si="0"/>
        <v>0</v>
      </c>
      <c r="I41" s="1436">
        <f t="shared" si="1"/>
        <v>1440000</v>
      </c>
      <c r="J41" s="1435"/>
      <c r="K41" s="1435"/>
      <c r="L41" s="1435"/>
    </row>
    <row r="42" spans="1:12" ht="93.75">
      <c r="A42" s="1554"/>
      <c r="B42" s="1187" t="s">
        <v>1282</v>
      </c>
      <c r="C42" s="1185">
        <v>11000</v>
      </c>
      <c r="D42" s="1200"/>
      <c r="E42" s="1185">
        <v>11000</v>
      </c>
      <c r="F42" s="115"/>
      <c r="G42" s="115"/>
      <c r="H42" s="1436">
        <f t="shared" si="0"/>
        <v>0</v>
      </c>
      <c r="I42" s="1436">
        <f t="shared" si="1"/>
        <v>22000</v>
      </c>
      <c r="J42" s="1435"/>
      <c r="K42" s="1435"/>
      <c r="L42" s="1435"/>
    </row>
    <row r="43" spans="1:12">
      <c r="A43" s="1555"/>
      <c r="B43" s="428" t="s">
        <v>985</v>
      </c>
      <c r="C43" s="559">
        <f>SUM(C39:C42)</f>
        <v>1298117</v>
      </c>
      <c r="D43" s="559">
        <f>SUM(D39:D42)</f>
        <v>0</v>
      </c>
      <c r="E43" s="559">
        <f>SUM(E39:E42)</f>
        <v>1298117</v>
      </c>
      <c r="F43" s="115"/>
      <c r="G43" s="115"/>
      <c r="H43" s="1436">
        <f t="shared" si="0"/>
        <v>0</v>
      </c>
      <c r="I43" s="1436">
        <f t="shared" si="1"/>
        <v>2596234</v>
      </c>
      <c r="J43" s="1435"/>
      <c r="K43" s="1435"/>
      <c r="L43" s="1435"/>
    </row>
    <row r="44" spans="1:12" hidden="1">
      <c r="A44" s="1553" t="s">
        <v>40</v>
      </c>
      <c r="B44" s="425"/>
      <c r="C44" s="577"/>
      <c r="D44" s="577"/>
      <c r="E44" s="510"/>
      <c r="F44" s="115"/>
      <c r="G44" s="115"/>
      <c r="H44" s="178">
        <f t="shared" si="0"/>
        <v>0</v>
      </c>
      <c r="I44" s="1178">
        <f t="shared" si="1"/>
        <v>0</v>
      </c>
    </row>
    <row r="45" spans="1:12" hidden="1">
      <c r="A45" s="1555"/>
      <c r="B45" s="428" t="s">
        <v>985</v>
      </c>
      <c r="C45" s="559">
        <f>C44</f>
        <v>0</v>
      </c>
      <c r="D45" s="559">
        <f>D44</f>
        <v>0</v>
      </c>
      <c r="E45" s="559">
        <f>E44</f>
        <v>0</v>
      </c>
      <c r="F45" s="115"/>
      <c r="G45" s="115"/>
      <c r="H45" s="178">
        <f t="shared" si="0"/>
        <v>0</v>
      </c>
      <c r="I45" s="1178">
        <f t="shared" si="1"/>
        <v>0</v>
      </c>
    </row>
    <row r="46" spans="1:12" ht="112.5">
      <c r="A46" s="1553" t="s">
        <v>1155</v>
      </c>
      <c r="B46" s="107" t="s">
        <v>1065</v>
      </c>
      <c r="C46" s="589">
        <v>1000000</v>
      </c>
      <c r="D46" s="589"/>
      <c r="E46" s="589">
        <v>1000000</v>
      </c>
      <c r="F46" s="543"/>
      <c r="G46" s="543"/>
      <c r="H46" s="1436">
        <f t="shared" si="0"/>
        <v>0</v>
      </c>
      <c r="I46" s="1436">
        <f t="shared" si="1"/>
        <v>2000000</v>
      </c>
      <c r="J46" s="1435"/>
      <c r="K46" s="1435"/>
      <c r="L46" s="1435"/>
    </row>
    <row r="47" spans="1:12" ht="112.5">
      <c r="A47" s="1554"/>
      <c r="B47" s="1154" t="s">
        <v>1214</v>
      </c>
      <c r="C47" s="590">
        <v>224163</v>
      </c>
      <c r="D47" s="590"/>
      <c r="E47" s="590">
        <v>224163</v>
      </c>
      <c r="F47" s="543"/>
      <c r="G47" s="543"/>
      <c r="H47" s="1436">
        <f t="shared" si="0"/>
        <v>0</v>
      </c>
      <c r="I47" s="1436">
        <f t="shared" si="1"/>
        <v>448326</v>
      </c>
      <c r="J47" s="1435"/>
      <c r="K47" s="1435"/>
      <c r="L47" s="1435"/>
    </row>
    <row r="48" spans="1:12" ht="93.75">
      <c r="A48" s="1554"/>
      <c r="B48" s="1154" t="s">
        <v>1216</v>
      </c>
      <c r="C48" s="590">
        <v>609831</v>
      </c>
      <c r="D48" s="590"/>
      <c r="E48" s="590">
        <v>609831</v>
      </c>
      <c r="F48" s="543"/>
      <c r="G48" s="543"/>
      <c r="H48" s="1436">
        <f t="shared" si="0"/>
        <v>0</v>
      </c>
      <c r="I48" s="1436">
        <f t="shared" si="1"/>
        <v>1219662</v>
      </c>
      <c r="J48" s="1435"/>
      <c r="K48" s="1435"/>
      <c r="L48" s="1435"/>
    </row>
    <row r="49" spans="1:12" ht="56.25">
      <c r="A49" s="1554"/>
      <c r="B49" s="1378" t="s">
        <v>2069</v>
      </c>
      <c r="C49" s="1379">
        <v>11000</v>
      </c>
      <c r="D49" s="1379"/>
      <c r="E49" s="1379">
        <v>11000</v>
      </c>
      <c r="F49" s="543"/>
      <c r="G49" s="543"/>
      <c r="H49" s="1436">
        <f t="shared" si="0"/>
        <v>0</v>
      </c>
      <c r="I49" s="1436">
        <f t="shared" si="1"/>
        <v>22000</v>
      </c>
      <c r="J49" s="1435"/>
      <c r="K49" s="1435"/>
      <c r="L49" s="1435"/>
    </row>
    <row r="50" spans="1:12">
      <c r="A50" s="1555"/>
      <c r="B50" s="428" t="s">
        <v>985</v>
      </c>
      <c r="C50" s="559">
        <f>SUM(C46:C49)</f>
        <v>1844994</v>
      </c>
      <c r="D50" s="559">
        <f>SUM(D46:D49)</f>
        <v>0</v>
      </c>
      <c r="E50" s="559">
        <f>SUM(E46:E49)</f>
        <v>1844994</v>
      </c>
      <c r="F50" s="115"/>
      <c r="G50" s="115"/>
      <c r="H50" s="1436">
        <f t="shared" si="0"/>
        <v>0</v>
      </c>
      <c r="I50" s="1436">
        <f t="shared" si="1"/>
        <v>3689988</v>
      </c>
      <c r="J50" s="1435"/>
      <c r="K50" s="1435"/>
      <c r="L50" s="1435"/>
    </row>
    <row r="51" spans="1:12" ht="131.25">
      <c r="A51" s="1553" t="s">
        <v>1089</v>
      </c>
      <c r="B51" s="425" t="s">
        <v>1066</v>
      </c>
      <c r="C51" s="561">
        <f>180000+540000</f>
        <v>720000</v>
      </c>
      <c r="D51" s="493"/>
      <c r="E51" s="493">
        <f>180000+540000</f>
        <v>720000</v>
      </c>
      <c r="F51" s="115"/>
      <c r="G51" s="115"/>
      <c r="H51" s="1436">
        <f t="shared" si="0"/>
        <v>0</v>
      </c>
      <c r="I51" s="1436">
        <f t="shared" si="1"/>
        <v>1440000</v>
      </c>
      <c r="J51" s="1435"/>
      <c r="K51" s="1435"/>
      <c r="L51" s="1435"/>
    </row>
    <row r="52" spans="1:12">
      <c r="A52" s="1555"/>
      <c r="B52" s="428" t="s">
        <v>985</v>
      </c>
      <c r="C52" s="559">
        <f>C51</f>
        <v>720000</v>
      </c>
      <c r="D52" s="559">
        <f>D51</f>
        <v>0</v>
      </c>
      <c r="E52" s="559">
        <f>E51</f>
        <v>720000</v>
      </c>
      <c r="F52" s="115"/>
      <c r="G52" s="115"/>
      <c r="H52" s="1436">
        <f t="shared" si="0"/>
        <v>0</v>
      </c>
      <c r="I52" s="1436">
        <f t="shared" si="1"/>
        <v>1440000</v>
      </c>
      <c r="J52" s="1435"/>
      <c r="K52" s="1435"/>
      <c r="L52" s="1435"/>
    </row>
    <row r="53" spans="1:12" ht="93.75">
      <c r="A53" s="1553" t="s">
        <v>1185</v>
      </c>
      <c r="B53" s="425" t="s">
        <v>1067</v>
      </c>
      <c r="C53" s="577">
        <v>382000</v>
      </c>
      <c r="D53" s="577"/>
      <c r="E53" s="510">
        <v>382000</v>
      </c>
      <c r="F53" s="115"/>
      <c r="G53" s="115"/>
      <c r="H53" s="1436">
        <f t="shared" si="0"/>
        <v>0</v>
      </c>
      <c r="I53" s="1436">
        <f t="shared" si="1"/>
        <v>764000</v>
      </c>
      <c r="J53" s="1435"/>
      <c r="K53" s="1435"/>
      <c r="L53" s="1435"/>
    </row>
    <row r="54" spans="1:12">
      <c r="A54" s="1555"/>
      <c r="B54" s="428" t="s">
        <v>985</v>
      </c>
      <c r="C54" s="559">
        <f>C53</f>
        <v>382000</v>
      </c>
      <c r="D54" s="559">
        <f>D53</f>
        <v>0</v>
      </c>
      <c r="E54" s="559">
        <f>E53</f>
        <v>382000</v>
      </c>
      <c r="F54" s="115"/>
      <c r="G54" s="115"/>
      <c r="H54" s="1436">
        <f t="shared" si="0"/>
        <v>0</v>
      </c>
      <c r="I54" s="1436">
        <f t="shared" si="1"/>
        <v>764000</v>
      </c>
      <c r="J54" s="1435"/>
      <c r="K54" s="1435"/>
      <c r="L54" s="1435"/>
    </row>
    <row r="55" spans="1:12" ht="112.5">
      <c r="A55" s="1553" t="s">
        <v>1115</v>
      </c>
      <c r="B55" s="1154" t="s">
        <v>1203</v>
      </c>
      <c r="C55" s="590">
        <v>320000</v>
      </c>
      <c r="D55" s="590"/>
      <c r="E55" s="590">
        <v>320000</v>
      </c>
      <c r="F55" s="115"/>
      <c r="G55" s="115"/>
      <c r="H55" s="1436">
        <f t="shared" si="0"/>
        <v>0</v>
      </c>
      <c r="I55" s="1436">
        <f t="shared" si="1"/>
        <v>640000</v>
      </c>
      <c r="J55" s="1435"/>
      <c r="K55" s="1435"/>
      <c r="L55" s="1435"/>
    </row>
    <row r="56" spans="1:12" ht="112.5">
      <c r="A56" s="1554"/>
      <c r="B56" s="1154" t="s">
        <v>1217</v>
      </c>
      <c r="C56" s="590">
        <v>2832</v>
      </c>
      <c r="D56" s="590"/>
      <c r="E56" s="590">
        <v>2832</v>
      </c>
      <c r="F56" s="115"/>
      <c r="G56" s="115"/>
      <c r="H56" s="1436">
        <f t="shared" si="0"/>
        <v>0</v>
      </c>
      <c r="I56" s="1436">
        <f t="shared" si="1"/>
        <v>5664</v>
      </c>
      <c r="J56" s="1435"/>
      <c r="K56" s="1435"/>
      <c r="L56" s="1435"/>
    </row>
    <row r="57" spans="1:12" ht="131.25">
      <c r="A57" s="1554"/>
      <c r="B57" s="1154" t="s">
        <v>1204</v>
      </c>
      <c r="C57" s="590">
        <v>3047</v>
      </c>
      <c r="D57" s="590"/>
      <c r="E57" s="590">
        <v>3047</v>
      </c>
      <c r="F57" s="115"/>
      <c r="G57" s="115"/>
      <c r="H57" s="1436">
        <f t="shared" si="0"/>
        <v>0</v>
      </c>
      <c r="I57" s="1436">
        <f t="shared" si="1"/>
        <v>6094</v>
      </c>
      <c r="J57" s="1435"/>
      <c r="K57" s="1435"/>
      <c r="L57" s="1435"/>
    </row>
    <row r="58" spans="1:12" ht="131.25">
      <c r="A58" s="1554"/>
      <c r="B58" s="1154" t="s">
        <v>1218</v>
      </c>
      <c r="C58" s="590">
        <v>3532</v>
      </c>
      <c r="D58" s="590"/>
      <c r="E58" s="590">
        <v>3532</v>
      </c>
      <c r="F58" s="115"/>
      <c r="G58" s="115"/>
      <c r="H58" s="1436">
        <f t="shared" si="0"/>
        <v>0</v>
      </c>
      <c r="I58" s="1436">
        <f t="shared" si="1"/>
        <v>7064</v>
      </c>
      <c r="J58" s="1435"/>
      <c r="K58" s="1435"/>
      <c r="L58" s="1435"/>
    </row>
    <row r="59" spans="1:12" ht="75">
      <c r="A59" s="1554"/>
      <c r="B59" s="1154" t="s">
        <v>947</v>
      </c>
      <c r="C59" s="590">
        <v>251001</v>
      </c>
      <c r="D59" s="590"/>
      <c r="E59" s="590">
        <v>251001</v>
      </c>
      <c r="F59" s="115"/>
      <c r="G59" s="115"/>
      <c r="H59" s="1436">
        <f t="shared" si="0"/>
        <v>0</v>
      </c>
      <c r="I59" s="1436">
        <f t="shared" si="1"/>
        <v>502002</v>
      </c>
      <c r="J59" s="1435"/>
      <c r="K59" s="1435"/>
      <c r="L59" s="1435"/>
    </row>
    <row r="60" spans="1:12" s="1179" customFormat="1" ht="93.75">
      <c r="A60" s="1554"/>
      <c r="B60" s="1175" t="s">
        <v>1249</v>
      </c>
      <c r="C60" s="1176">
        <v>11000</v>
      </c>
      <c r="D60" s="1176"/>
      <c r="E60" s="1176">
        <v>11000</v>
      </c>
      <c r="F60" s="1177"/>
      <c r="G60" s="1177"/>
      <c r="H60" s="1436">
        <f t="shared" si="0"/>
        <v>0</v>
      </c>
      <c r="I60" s="1436">
        <f t="shared" si="1"/>
        <v>22000</v>
      </c>
      <c r="J60" s="1435"/>
      <c r="K60" s="1435"/>
      <c r="L60" s="1435"/>
    </row>
    <row r="61" spans="1:12" ht="150">
      <c r="A61" s="1554"/>
      <c r="B61" s="1175" t="s">
        <v>1253</v>
      </c>
      <c r="C61" s="1176">
        <v>442474</v>
      </c>
      <c r="D61" s="1176"/>
      <c r="E61" s="1176">
        <v>442474</v>
      </c>
      <c r="F61" s="1177"/>
      <c r="G61" s="1177"/>
      <c r="H61" s="1436">
        <f t="shared" si="0"/>
        <v>0</v>
      </c>
      <c r="I61" s="1436">
        <f t="shared" si="1"/>
        <v>884948</v>
      </c>
      <c r="J61" s="1435"/>
      <c r="K61" s="1435"/>
      <c r="L61" s="1435"/>
    </row>
    <row r="62" spans="1:12" hidden="1">
      <c r="A62" s="1554"/>
      <c r="B62" s="541"/>
      <c r="C62" s="542"/>
      <c r="D62" s="542"/>
      <c r="E62" s="542"/>
      <c r="F62" s="115"/>
      <c r="G62" s="115"/>
      <c r="H62" s="178">
        <f t="shared" si="0"/>
        <v>0</v>
      </c>
      <c r="I62" s="1178">
        <f t="shared" si="1"/>
        <v>0</v>
      </c>
    </row>
    <row r="63" spans="1:12" hidden="1">
      <c r="A63" s="1554"/>
      <c r="B63" s="541"/>
      <c r="C63" s="542"/>
      <c r="D63" s="542"/>
      <c r="E63" s="542"/>
      <c r="F63" s="115"/>
      <c r="G63" s="115"/>
      <c r="H63" s="178">
        <f t="shared" si="0"/>
        <v>0</v>
      </c>
      <c r="I63" s="1178">
        <f t="shared" si="1"/>
        <v>0</v>
      </c>
    </row>
    <row r="64" spans="1:12" hidden="1">
      <c r="A64" s="1554"/>
      <c r="B64" s="541"/>
      <c r="C64" s="542"/>
      <c r="D64" s="542"/>
      <c r="E64" s="542"/>
      <c r="F64" s="115"/>
      <c r="G64" s="115"/>
      <c r="H64" s="178">
        <f t="shared" si="0"/>
        <v>0</v>
      </c>
      <c r="I64" s="1178">
        <f t="shared" si="1"/>
        <v>0</v>
      </c>
    </row>
    <row r="65" spans="1:12" hidden="1">
      <c r="A65" s="1554"/>
      <c r="B65" s="541"/>
      <c r="C65" s="542"/>
      <c r="D65" s="542"/>
      <c r="E65" s="542"/>
      <c r="F65" s="115"/>
      <c r="G65" s="115"/>
      <c r="H65" s="178">
        <f t="shared" si="0"/>
        <v>0</v>
      </c>
      <c r="I65" s="1178">
        <f t="shared" si="1"/>
        <v>0</v>
      </c>
    </row>
    <row r="66" spans="1:12" hidden="1">
      <c r="A66" s="1554"/>
      <c r="B66" s="541"/>
      <c r="C66" s="542"/>
      <c r="D66" s="542"/>
      <c r="E66" s="542"/>
      <c r="F66" s="115"/>
      <c r="G66" s="115"/>
      <c r="H66" s="178">
        <f t="shared" si="0"/>
        <v>0</v>
      </c>
      <c r="I66" s="1178">
        <f t="shared" si="1"/>
        <v>0</v>
      </c>
    </row>
    <row r="67" spans="1:12" hidden="1">
      <c r="A67" s="1554"/>
      <c r="B67" s="541"/>
      <c r="C67" s="542"/>
      <c r="D67" s="542"/>
      <c r="E67" s="542"/>
      <c r="F67" s="115"/>
      <c r="G67" s="115"/>
      <c r="H67" s="178">
        <f t="shared" si="0"/>
        <v>0</v>
      </c>
      <c r="I67" s="1178">
        <f t="shared" si="1"/>
        <v>0</v>
      </c>
    </row>
    <row r="68" spans="1:12" hidden="1">
      <c r="A68" s="1554"/>
      <c r="B68" s="541"/>
      <c r="C68" s="542"/>
      <c r="D68" s="542"/>
      <c r="E68" s="542"/>
      <c r="F68" s="115"/>
      <c r="G68" s="115"/>
      <c r="H68" s="178">
        <f t="shared" si="0"/>
        <v>0</v>
      </c>
      <c r="I68" s="1178">
        <f t="shared" si="1"/>
        <v>0</v>
      </c>
    </row>
    <row r="69" spans="1:12" hidden="1">
      <c r="A69" s="1554"/>
      <c r="B69" s="541"/>
      <c r="C69" s="542"/>
      <c r="D69" s="542"/>
      <c r="E69" s="542"/>
      <c r="F69" s="115"/>
      <c r="G69" s="115"/>
      <c r="H69" s="178">
        <f t="shared" si="0"/>
        <v>0</v>
      </c>
      <c r="I69" s="1178">
        <f t="shared" si="1"/>
        <v>0</v>
      </c>
    </row>
    <row r="70" spans="1:12" hidden="1">
      <c r="A70" s="1554"/>
      <c r="B70" s="541"/>
      <c r="C70" s="542"/>
      <c r="D70" s="542"/>
      <c r="E70" s="542"/>
      <c r="F70" s="115"/>
      <c r="G70" s="115"/>
      <c r="H70" s="178">
        <f t="shared" si="0"/>
        <v>0</v>
      </c>
      <c r="I70" s="1178">
        <f t="shared" si="1"/>
        <v>0</v>
      </c>
    </row>
    <row r="71" spans="1:12">
      <c r="A71" s="1555"/>
      <c r="B71" s="428" t="s">
        <v>985</v>
      </c>
      <c r="C71" s="559">
        <f>SUBTOTAL(9,C55:C61)</f>
        <v>1033886</v>
      </c>
      <c r="D71" s="559">
        <f>SUBTOTAL(9,D55:D61)</f>
        <v>0</v>
      </c>
      <c r="E71" s="559">
        <f>SUBTOTAL(9,E55:E61)</f>
        <v>1033886</v>
      </c>
      <c r="F71" s="115"/>
      <c r="G71" s="115"/>
      <c r="H71" s="1436">
        <f t="shared" si="0"/>
        <v>0</v>
      </c>
      <c r="I71" s="1436">
        <f t="shared" si="1"/>
        <v>2067772</v>
      </c>
      <c r="J71" s="1435"/>
      <c r="K71" s="1435"/>
      <c r="L71" s="1435"/>
    </row>
    <row r="72" spans="1:12" ht="93.75">
      <c r="A72" s="1553" t="s">
        <v>1099</v>
      </c>
      <c r="B72" s="1154" t="s">
        <v>1219</v>
      </c>
      <c r="C72" s="590">
        <v>9064</v>
      </c>
      <c r="D72" s="590"/>
      <c r="E72" s="590">
        <v>9064</v>
      </c>
      <c r="F72" s="115"/>
      <c r="G72" s="115"/>
      <c r="H72" s="1436">
        <f t="shared" si="0"/>
        <v>0</v>
      </c>
      <c r="I72" s="1436">
        <f t="shared" si="1"/>
        <v>18128</v>
      </c>
      <c r="J72" s="1435"/>
      <c r="K72" s="1435"/>
      <c r="L72" s="1435"/>
    </row>
    <row r="73" spans="1:12" ht="112.5">
      <c r="A73" s="1554"/>
      <c r="B73" s="1154" t="s">
        <v>1205</v>
      </c>
      <c r="C73" s="590">
        <v>320000</v>
      </c>
      <c r="D73" s="590"/>
      <c r="E73" s="590">
        <v>320000</v>
      </c>
      <c r="F73" s="115"/>
      <c r="G73" s="115"/>
      <c r="H73" s="1436">
        <f t="shared" si="0"/>
        <v>0</v>
      </c>
      <c r="I73" s="1436">
        <f t="shared" si="1"/>
        <v>640000</v>
      </c>
      <c r="J73" s="1435"/>
      <c r="K73" s="1435"/>
      <c r="L73" s="1435"/>
    </row>
    <row r="74" spans="1:12" ht="131.25">
      <c r="A74" s="1554"/>
      <c r="B74" s="1154" t="s">
        <v>1223</v>
      </c>
      <c r="C74" s="590">
        <v>2000000</v>
      </c>
      <c r="D74" s="590"/>
      <c r="E74" s="590">
        <v>2000000</v>
      </c>
      <c r="F74" s="115"/>
      <c r="G74" s="115"/>
      <c r="H74" s="1436"/>
      <c r="I74" s="1436">
        <f t="shared" ref="I74:I145" si="2">SUM(C74:E74)</f>
        <v>4000000</v>
      </c>
      <c r="J74" s="1435"/>
      <c r="K74" s="1435"/>
      <c r="L74" s="1435"/>
    </row>
    <row r="75" spans="1:12" ht="56.25">
      <c r="A75" s="1554"/>
      <c r="B75" s="1378" t="s">
        <v>2036</v>
      </c>
      <c r="C75" s="1388">
        <v>11000</v>
      </c>
      <c r="D75" s="1379"/>
      <c r="E75" s="1379">
        <v>11000</v>
      </c>
      <c r="F75" s="1380"/>
      <c r="G75" s="1381"/>
      <c r="H75" s="1436"/>
      <c r="I75" s="1436">
        <f>SUM(C75:E75)</f>
        <v>22000</v>
      </c>
      <c r="J75" s="1435"/>
      <c r="K75" s="1435"/>
      <c r="L75" s="1435"/>
    </row>
    <row r="76" spans="1:12">
      <c r="A76" s="1555"/>
      <c r="B76" s="428" t="s">
        <v>985</v>
      </c>
      <c r="C76" s="597">
        <f>SUM(C72:C75)</f>
        <v>2340064</v>
      </c>
      <c r="D76" s="597">
        <f>SUM(D72:D74)</f>
        <v>0</v>
      </c>
      <c r="E76" s="597">
        <f>SUM(E72:E75)</f>
        <v>2340064</v>
      </c>
      <c r="F76" s="115"/>
      <c r="G76" s="115"/>
      <c r="H76" s="1436">
        <f t="shared" ref="H76:H161" si="3">E76+D76-C76</f>
        <v>0</v>
      </c>
      <c r="I76" s="1436">
        <f t="shared" si="2"/>
        <v>4680128</v>
      </c>
      <c r="J76" s="1435"/>
      <c r="K76" s="1435"/>
      <c r="L76" s="1435"/>
    </row>
    <row r="77" spans="1:12" hidden="1">
      <c r="A77" s="1553" t="s">
        <v>243</v>
      </c>
      <c r="B77" s="425"/>
      <c r="C77" s="577"/>
      <c r="D77" s="577"/>
      <c r="E77" s="510"/>
      <c r="F77" s="115"/>
      <c r="G77" s="115"/>
      <c r="H77" s="178">
        <f t="shared" si="3"/>
        <v>0</v>
      </c>
      <c r="I77" s="1178">
        <f t="shared" si="2"/>
        <v>0</v>
      </c>
    </row>
    <row r="78" spans="1:12" hidden="1">
      <c r="A78" s="1555"/>
      <c r="B78" s="428" t="s">
        <v>985</v>
      </c>
      <c r="C78" s="559">
        <f>C77</f>
        <v>0</v>
      </c>
      <c r="D78" s="559">
        <f>D77</f>
        <v>0</v>
      </c>
      <c r="E78" s="559">
        <f>E77</f>
        <v>0</v>
      </c>
      <c r="F78" s="115"/>
      <c r="G78" s="115"/>
      <c r="H78" s="178">
        <f t="shared" si="3"/>
        <v>0</v>
      </c>
      <c r="I78" s="1178">
        <f t="shared" si="2"/>
        <v>0</v>
      </c>
    </row>
    <row r="79" spans="1:12" ht="112.5">
      <c r="A79" s="1553" t="s">
        <v>1087</v>
      </c>
      <c r="B79" s="1154" t="s">
        <v>1199</v>
      </c>
      <c r="C79" s="590">
        <v>701760</v>
      </c>
      <c r="D79" s="590"/>
      <c r="E79" s="590">
        <v>701760</v>
      </c>
      <c r="F79" s="115"/>
      <c r="G79" s="115"/>
      <c r="H79" s="1436">
        <f t="shared" si="3"/>
        <v>0</v>
      </c>
      <c r="I79" s="1436">
        <f t="shared" si="2"/>
        <v>1403520</v>
      </c>
      <c r="J79" s="1435"/>
      <c r="K79" s="1435"/>
      <c r="L79" s="1435"/>
    </row>
    <row r="80" spans="1:12" ht="187.5">
      <c r="A80" s="1554"/>
      <c r="B80" s="1154" t="s">
        <v>1201</v>
      </c>
      <c r="C80" s="590">
        <f>107600+84352</f>
        <v>191952</v>
      </c>
      <c r="D80" s="590"/>
      <c r="E80" s="590">
        <f>107600+84352</f>
        <v>191952</v>
      </c>
      <c r="F80" s="115"/>
      <c r="G80" s="115"/>
      <c r="H80" s="1436">
        <f t="shared" si="3"/>
        <v>0</v>
      </c>
      <c r="I80" s="1436">
        <f t="shared" si="2"/>
        <v>383904</v>
      </c>
      <c r="J80" s="1435"/>
      <c r="K80" s="1435"/>
      <c r="L80" s="1435"/>
    </row>
    <row r="81" spans="1:12">
      <c r="A81" s="1555"/>
      <c r="B81" s="428" t="s">
        <v>985</v>
      </c>
      <c r="C81" s="559">
        <f>SUM(C79:C80)</f>
        <v>893712</v>
      </c>
      <c r="D81" s="559">
        <f>SUM(D79:D80)</f>
        <v>0</v>
      </c>
      <c r="E81" s="559">
        <f>SUM(E79:E80)</f>
        <v>893712</v>
      </c>
      <c r="F81" s="115"/>
      <c r="G81" s="115"/>
      <c r="H81" s="1436">
        <f t="shared" si="3"/>
        <v>0</v>
      </c>
      <c r="I81" s="1436">
        <f t="shared" si="2"/>
        <v>1787424</v>
      </c>
      <c r="J81" s="1435"/>
      <c r="K81" s="1435"/>
      <c r="L81" s="1435"/>
    </row>
    <row r="82" spans="1:12" ht="112.5">
      <c r="A82" s="1553" t="s">
        <v>1164</v>
      </c>
      <c r="B82" s="1187" t="s">
        <v>1270</v>
      </c>
      <c r="C82" s="1193">
        <v>70000</v>
      </c>
      <c r="D82" s="1193"/>
      <c r="E82" s="1181">
        <v>70000</v>
      </c>
      <c r="F82" s="1177"/>
      <c r="G82" s="1177"/>
      <c r="H82" s="1436">
        <f t="shared" si="3"/>
        <v>0</v>
      </c>
      <c r="I82" s="1436">
        <f t="shared" si="2"/>
        <v>140000</v>
      </c>
      <c r="J82" s="1435"/>
      <c r="K82" s="1435"/>
      <c r="L82" s="1435"/>
    </row>
    <row r="83" spans="1:12" hidden="1">
      <c r="A83" s="1554"/>
      <c r="B83" s="758"/>
      <c r="C83" s="761"/>
      <c r="D83" s="761"/>
      <c r="E83" s="762"/>
      <c r="F83" s="115"/>
      <c r="G83" s="115"/>
      <c r="H83" s="178">
        <f t="shared" si="3"/>
        <v>0</v>
      </c>
      <c r="I83" s="1178">
        <f t="shared" si="2"/>
        <v>0</v>
      </c>
    </row>
    <row r="84" spans="1:12" hidden="1">
      <c r="A84" s="1554"/>
      <c r="B84" s="524"/>
      <c r="C84" s="525"/>
      <c r="D84" s="525"/>
      <c r="E84" s="526"/>
      <c r="F84" s="115"/>
      <c r="G84" s="115"/>
      <c r="H84" s="178">
        <f t="shared" si="3"/>
        <v>0</v>
      </c>
      <c r="I84" s="1178">
        <f t="shared" si="2"/>
        <v>0</v>
      </c>
    </row>
    <row r="85" spans="1:12" hidden="1">
      <c r="A85" s="1554"/>
      <c r="B85" s="524"/>
      <c r="C85" s="525"/>
      <c r="D85" s="525"/>
      <c r="E85" s="526"/>
      <c r="F85" s="115"/>
      <c r="G85" s="115"/>
      <c r="H85" s="178">
        <f t="shared" si="3"/>
        <v>0</v>
      </c>
      <c r="I85" s="1178">
        <f t="shared" si="2"/>
        <v>0</v>
      </c>
    </row>
    <row r="86" spans="1:12" hidden="1">
      <c r="A86" s="1554"/>
      <c r="B86" s="524"/>
      <c r="C86" s="525"/>
      <c r="D86" s="525"/>
      <c r="E86" s="526"/>
      <c r="F86" s="115"/>
      <c r="G86" s="115"/>
      <c r="H86" s="178">
        <f t="shared" si="3"/>
        <v>0</v>
      </c>
      <c r="I86" s="1178">
        <f t="shared" si="2"/>
        <v>0</v>
      </c>
    </row>
    <row r="87" spans="1:12">
      <c r="A87" s="1555"/>
      <c r="B87" s="428" t="s">
        <v>985</v>
      </c>
      <c r="C87" s="559">
        <f>SUBTOTAL(9,C82:C86)</f>
        <v>70000</v>
      </c>
      <c r="D87" s="559">
        <f>SUBTOTAL(9,D82:D86)</f>
        <v>0</v>
      </c>
      <c r="E87" s="559">
        <f>SUBTOTAL(9,E82:E86)</f>
        <v>70000</v>
      </c>
      <c r="F87" s="115"/>
      <c r="G87" s="115"/>
      <c r="H87" s="1436">
        <f t="shared" si="3"/>
        <v>0</v>
      </c>
      <c r="I87" s="1436">
        <f t="shared" si="2"/>
        <v>140000</v>
      </c>
      <c r="J87" s="1435"/>
      <c r="K87" s="1435"/>
      <c r="L87" s="1435"/>
    </row>
    <row r="88" spans="1:12" ht="75">
      <c r="A88" s="1553" t="s">
        <v>1123</v>
      </c>
      <c r="B88" s="1154" t="s">
        <v>1213</v>
      </c>
      <c r="C88" s="590">
        <v>200000</v>
      </c>
      <c r="D88" s="590"/>
      <c r="E88" s="590">
        <v>200000</v>
      </c>
      <c r="F88" s="623"/>
      <c r="G88" s="623"/>
      <c r="H88" s="1436">
        <f t="shared" si="3"/>
        <v>0</v>
      </c>
      <c r="I88" s="1436">
        <f t="shared" si="2"/>
        <v>400000</v>
      </c>
      <c r="J88" s="1435"/>
      <c r="K88" s="1435"/>
      <c r="L88" s="1435"/>
    </row>
    <row r="89" spans="1:12" hidden="1">
      <c r="A89" s="1554"/>
      <c r="B89" s="1154"/>
      <c r="C89" s="590"/>
      <c r="D89" s="590"/>
      <c r="E89" s="590"/>
      <c r="F89" s="623"/>
      <c r="G89" s="623"/>
      <c r="H89" s="178"/>
      <c r="I89" s="1178"/>
    </row>
    <row r="90" spans="1:12">
      <c r="A90" s="1555"/>
      <c r="B90" s="428" t="s">
        <v>985</v>
      </c>
      <c r="C90" s="559">
        <f>SUM(C88:C89)</f>
        <v>200000</v>
      </c>
      <c r="D90" s="559">
        <f>SUM(D88:D89)</f>
        <v>0</v>
      </c>
      <c r="E90" s="559">
        <f>SUM(E88:E89)</f>
        <v>200000</v>
      </c>
      <c r="F90" s="632"/>
      <c r="G90" s="632"/>
      <c r="H90" s="1436">
        <f t="shared" si="3"/>
        <v>0</v>
      </c>
      <c r="I90" s="1436">
        <f t="shared" si="2"/>
        <v>400000</v>
      </c>
      <c r="J90" s="1435"/>
      <c r="K90" s="1435"/>
      <c r="L90" s="1435"/>
    </row>
    <row r="91" spans="1:12" ht="75">
      <c r="A91" s="1553" t="s">
        <v>1241</v>
      </c>
      <c r="B91" s="1174" t="s">
        <v>1242</v>
      </c>
      <c r="C91" s="510">
        <v>200000</v>
      </c>
      <c r="D91" s="510"/>
      <c r="E91" s="510">
        <v>200000</v>
      </c>
      <c r="F91" s="623"/>
      <c r="G91" s="623"/>
      <c r="H91" s="1436">
        <f t="shared" si="3"/>
        <v>0</v>
      </c>
      <c r="I91" s="1436">
        <f t="shared" si="2"/>
        <v>400000</v>
      </c>
      <c r="J91" s="1435"/>
      <c r="K91" s="1435"/>
      <c r="L91" s="1435"/>
    </row>
    <row r="92" spans="1:12" s="67" customFormat="1">
      <c r="A92" s="1555"/>
      <c r="B92" s="428" t="s">
        <v>985</v>
      </c>
      <c r="C92" s="559">
        <f>SUM(C91:C91)</f>
        <v>200000</v>
      </c>
      <c r="D92" s="559">
        <f>SUM(D91:D91)</f>
        <v>0</v>
      </c>
      <c r="E92" s="559">
        <f>SUM(E91:E91)</f>
        <v>200000</v>
      </c>
      <c r="F92" s="632"/>
      <c r="G92" s="632"/>
      <c r="H92" s="1436">
        <f t="shared" si="3"/>
        <v>0</v>
      </c>
      <c r="I92" s="1436">
        <f t="shared" si="2"/>
        <v>400000</v>
      </c>
      <c r="J92" s="1437"/>
      <c r="K92" s="1437"/>
      <c r="L92" s="1437"/>
    </row>
    <row r="93" spans="1:12" ht="37.5">
      <c r="A93" s="1553" t="s">
        <v>2055</v>
      </c>
      <c r="B93" s="1378" t="s">
        <v>2056</v>
      </c>
      <c r="C93" s="1379">
        <v>11000</v>
      </c>
      <c r="D93" s="1379"/>
      <c r="E93" s="1380">
        <v>11000</v>
      </c>
      <c r="F93" s="1381"/>
      <c r="G93" s="1381"/>
      <c r="H93" s="1436">
        <f t="shared" si="3"/>
        <v>0</v>
      </c>
      <c r="I93" s="1436">
        <f t="shared" si="2"/>
        <v>22000</v>
      </c>
      <c r="J93" s="1435"/>
      <c r="K93" s="1435"/>
      <c r="L93" s="1435"/>
    </row>
    <row r="94" spans="1:12" ht="41.45" customHeight="1">
      <c r="A94" s="1559"/>
      <c r="B94" s="428" t="s">
        <v>985</v>
      </c>
      <c r="C94" s="559">
        <f>SUM(C93:C93)</f>
        <v>11000</v>
      </c>
      <c r="D94" s="559">
        <f>SUM(D93:D93)</f>
        <v>0</v>
      </c>
      <c r="E94" s="559">
        <f>SUM(E93:E93)</f>
        <v>11000</v>
      </c>
      <c r="F94" s="632"/>
      <c r="G94" s="632"/>
      <c r="H94" s="1436">
        <f t="shared" si="3"/>
        <v>0</v>
      </c>
      <c r="I94" s="1436">
        <f t="shared" si="2"/>
        <v>22000</v>
      </c>
      <c r="J94" s="1435"/>
      <c r="K94" s="1435"/>
      <c r="L94" s="1435"/>
    </row>
    <row r="95" spans="1:12" hidden="1">
      <c r="A95" s="1553" t="s">
        <v>1245</v>
      </c>
      <c r="B95" s="1174"/>
      <c r="C95" s="510"/>
      <c r="D95" s="510"/>
      <c r="E95" s="510"/>
      <c r="F95" s="623"/>
      <c r="G95" s="623"/>
      <c r="H95" s="178">
        <f t="shared" si="3"/>
        <v>0</v>
      </c>
      <c r="I95" s="1178">
        <f t="shared" si="2"/>
        <v>0</v>
      </c>
    </row>
    <row r="96" spans="1:12" hidden="1">
      <c r="A96" s="1555"/>
      <c r="B96" s="428" t="s">
        <v>985</v>
      </c>
      <c r="C96" s="597">
        <f>C95</f>
        <v>0</v>
      </c>
      <c r="D96" s="597">
        <f>D95</f>
        <v>0</v>
      </c>
      <c r="E96" s="597">
        <f>E95</f>
        <v>0</v>
      </c>
      <c r="F96" s="115"/>
      <c r="G96" s="115"/>
      <c r="H96" s="178">
        <f t="shared" si="3"/>
        <v>0</v>
      </c>
      <c r="I96" s="1178">
        <f t="shared" si="2"/>
        <v>0</v>
      </c>
    </row>
    <row r="97" spans="1:12" ht="56.25">
      <c r="A97" s="1553" t="s">
        <v>1120</v>
      </c>
      <c r="B97" s="1174" t="s">
        <v>1243</v>
      </c>
      <c r="C97" s="510">
        <v>1000000</v>
      </c>
      <c r="D97" s="510"/>
      <c r="E97" s="510">
        <v>1000000</v>
      </c>
      <c r="F97" s="623"/>
      <c r="G97" s="623"/>
      <c r="H97" s="1436">
        <f t="shared" si="3"/>
        <v>0</v>
      </c>
      <c r="I97" s="1436">
        <f t="shared" si="2"/>
        <v>2000000</v>
      </c>
      <c r="J97" s="1435"/>
      <c r="K97" s="1435"/>
      <c r="L97" s="1435"/>
    </row>
    <row r="98" spans="1:12">
      <c r="A98" s="1555"/>
      <c r="B98" s="428" t="s">
        <v>985</v>
      </c>
      <c r="C98" s="559">
        <f>SUBTOTAL(9,C97:C97)</f>
        <v>1000000</v>
      </c>
      <c r="D98" s="559">
        <f>SUBTOTAL(9,D97:D97)</f>
        <v>0</v>
      </c>
      <c r="E98" s="559">
        <f>SUBTOTAL(9,E97:E97)</f>
        <v>1000000</v>
      </c>
      <c r="F98" s="115"/>
      <c r="G98" s="115"/>
      <c r="H98" s="1436">
        <f t="shared" si="3"/>
        <v>0</v>
      </c>
      <c r="I98" s="1436">
        <f t="shared" si="2"/>
        <v>2000000</v>
      </c>
      <c r="J98" s="1435"/>
      <c r="K98" s="1435"/>
      <c r="L98" s="1435"/>
    </row>
    <row r="99" spans="1:12" ht="112.5">
      <c r="A99" s="1553" t="s">
        <v>1135</v>
      </c>
      <c r="B99" s="1154" t="s">
        <v>1220</v>
      </c>
      <c r="C99" s="590">
        <v>720000</v>
      </c>
      <c r="D99" s="590"/>
      <c r="E99" s="590">
        <v>720000</v>
      </c>
      <c r="F99" s="822"/>
      <c r="G99" s="822"/>
      <c r="H99" s="1436">
        <f t="shared" si="3"/>
        <v>0</v>
      </c>
      <c r="I99" s="1436">
        <f t="shared" si="2"/>
        <v>1440000</v>
      </c>
      <c r="J99" s="1435"/>
      <c r="K99" s="1435"/>
      <c r="L99" s="1435"/>
    </row>
    <row r="100" spans="1:12">
      <c r="A100" s="1555"/>
      <c r="B100" s="428" t="s">
        <v>985</v>
      </c>
      <c r="C100" s="559">
        <f>C99</f>
        <v>720000</v>
      </c>
      <c r="D100" s="559">
        <f>D99</f>
        <v>0</v>
      </c>
      <c r="E100" s="559">
        <f>E99</f>
        <v>720000</v>
      </c>
      <c r="F100" s="115"/>
      <c r="G100" s="115"/>
      <c r="H100" s="1436">
        <f t="shared" si="3"/>
        <v>0</v>
      </c>
      <c r="I100" s="1436">
        <f t="shared" si="2"/>
        <v>1440000</v>
      </c>
      <c r="J100" s="1435"/>
      <c r="K100" s="1435"/>
      <c r="L100" s="1435"/>
    </row>
    <row r="101" spans="1:12" ht="131.25">
      <c r="A101" s="1553" t="s">
        <v>1131</v>
      </c>
      <c r="B101" s="1154" t="s">
        <v>1211</v>
      </c>
      <c r="C101" s="590">
        <v>1038355</v>
      </c>
      <c r="D101" s="590"/>
      <c r="E101" s="590">
        <v>1038355</v>
      </c>
      <c r="F101" s="822"/>
      <c r="G101" s="822"/>
      <c r="H101" s="1436">
        <f t="shared" si="3"/>
        <v>0</v>
      </c>
      <c r="I101" s="1436">
        <f t="shared" si="2"/>
        <v>2076710</v>
      </c>
      <c r="J101" s="1435"/>
      <c r="K101" s="1435"/>
      <c r="L101" s="1435"/>
    </row>
    <row r="102" spans="1:12">
      <c r="A102" s="1555"/>
      <c r="B102" s="428" t="s">
        <v>985</v>
      </c>
      <c r="C102" s="559">
        <f>C101</f>
        <v>1038355</v>
      </c>
      <c r="D102" s="559">
        <f>D101</f>
        <v>0</v>
      </c>
      <c r="E102" s="559">
        <f>E101</f>
        <v>1038355</v>
      </c>
      <c r="F102" s="115"/>
      <c r="G102" s="115"/>
      <c r="H102" s="1436">
        <f t="shared" si="3"/>
        <v>0</v>
      </c>
      <c r="I102" s="1436">
        <f t="shared" si="2"/>
        <v>2076710</v>
      </c>
      <c r="J102" s="1435"/>
      <c r="K102" s="1435"/>
      <c r="L102" s="1435"/>
    </row>
    <row r="103" spans="1:12" ht="112.5" hidden="1">
      <c r="A103" s="1553" t="s">
        <v>1137</v>
      </c>
      <c r="B103" s="1412" t="s">
        <v>1202</v>
      </c>
      <c r="C103" s="526">
        <v>0</v>
      </c>
      <c r="D103" s="526"/>
      <c r="E103" s="526">
        <v>0</v>
      </c>
      <c r="F103" s="822"/>
      <c r="G103" s="822"/>
      <c r="H103" s="178">
        <f t="shared" si="3"/>
        <v>0</v>
      </c>
      <c r="I103" s="1178">
        <f t="shared" si="2"/>
        <v>0</v>
      </c>
    </row>
    <row r="104" spans="1:12" ht="112.5">
      <c r="A104" s="1554"/>
      <c r="B104" s="1174" t="s">
        <v>1244</v>
      </c>
      <c r="C104" s="510">
        <v>720000</v>
      </c>
      <c r="D104" s="510"/>
      <c r="E104" s="510">
        <v>720000</v>
      </c>
      <c r="F104" s="822"/>
      <c r="G104" s="822"/>
      <c r="H104" s="1436">
        <f>E104+D104-C104</f>
        <v>0</v>
      </c>
      <c r="I104" s="1436">
        <f>SUM(C104:E104)</f>
        <v>1440000</v>
      </c>
      <c r="J104" s="1435"/>
      <c r="K104" s="1435"/>
      <c r="L104" s="1435"/>
    </row>
    <row r="105" spans="1:12" ht="37.5">
      <c r="A105" s="1554"/>
      <c r="B105" s="1378" t="s">
        <v>2050</v>
      </c>
      <c r="C105" s="1379">
        <v>11000</v>
      </c>
      <c r="D105" s="1379"/>
      <c r="E105" s="1380">
        <v>11000</v>
      </c>
      <c r="F105" s="1381"/>
      <c r="G105" s="1381"/>
      <c r="H105" s="1436">
        <f>E105+D105-C105</f>
        <v>0</v>
      </c>
      <c r="I105" s="1436">
        <f>SUM(C105:E105)</f>
        <v>22000</v>
      </c>
      <c r="J105" s="1435"/>
      <c r="K105" s="1435"/>
      <c r="L105" s="1435"/>
    </row>
    <row r="106" spans="1:12">
      <c r="A106" s="1555"/>
      <c r="B106" s="428" t="s">
        <v>985</v>
      </c>
      <c r="C106" s="559">
        <f>SUM(C103:C105)</f>
        <v>731000</v>
      </c>
      <c r="D106" s="559">
        <f>SUM(D103:D105)</f>
        <v>0</v>
      </c>
      <c r="E106" s="559">
        <f>SUM(E103:E105)</f>
        <v>731000</v>
      </c>
      <c r="F106" s="559">
        <f>SUM(F103:F105)</f>
        <v>0</v>
      </c>
      <c r="G106" s="559">
        <f>SUM(G103:G105)</f>
        <v>0</v>
      </c>
      <c r="H106" s="1436">
        <f t="shared" si="3"/>
        <v>0</v>
      </c>
      <c r="I106" s="1436">
        <f t="shared" si="2"/>
        <v>1462000</v>
      </c>
      <c r="J106" s="1435"/>
      <c r="K106" s="1435"/>
      <c r="L106" s="1435"/>
    </row>
    <row r="107" spans="1:12" ht="93.75">
      <c r="A107" s="1553" t="s">
        <v>1101</v>
      </c>
      <c r="B107" s="1154" t="s">
        <v>1206</v>
      </c>
      <c r="C107" s="590">
        <v>35216</v>
      </c>
      <c r="D107" s="590"/>
      <c r="E107" s="590">
        <v>35216</v>
      </c>
      <c r="F107" s="822"/>
      <c r="G107" s="822"/>
      <c r="H107" s="1436">
        <f t="shared" si="3"/>
        <v>0</v>
      </c>
      <c r="I107" s="1436">
        <f t="shared" si="2"/>
        <v>70432</v>
      </c>
      <c r="J107" s="1435"/>
      <c r="K107" s="1435"/>
      <c r="L107" s="1435"/>
    </row>
    <row r="108" spans="1:12" ht="93.75">
      <c r="A108" s="1554"/>
      <c r="B108" s="1154" t="s">
        <v>1207</v>
      </c>
      <c r="C108" s="590">
        <v>24974</v>
      </c>
      <c r="D108" s="590"/>
      <c r="E108" s="590">
        <v>24974</v>
      </c>
      <c r="F108" s="822"/>
      <c r="G108" s="822"/>
      <c r="H108" s="1436">
        <f t="shared" si="3"/>
        <v>0</v>
      </c>
      <c r="I108" s="1436">
        <f t="shared" si="2"/>
        <v>49948</v>
      </c>
      <c r="J108" s="1435"/>
      <c r="K108" s="1435"/>
      <c r="L108" s="1435"/>
    </row>
    <row r="109" spans="1:12" ht="93.75">
      <c r="A109" s="1554"/>
      <c r="B109" s="1154" t="s">
        <v>1208</v>
      </c>
      <c r="C109" s="590">
        <v>368460</v>
      </c>
      <c r="D109" s="590"/>
      <c r="E109" s="590">
        <v>368460</v>
      </c>
      <c r="F109" s="822"/>
      <c r="G109" s="822"/>
      <c r="H109" s="1436">
        <f t="shared" si="3"/>
        <v>0</v>
      </c>
      <c r="I109" s="1436">
        <f t="shared" si="2"/>
        <v>736920</v>
      </c>
      <c r="J109" s="1435"/>
      <c r="K109" s="1435"/>
      <c r="L109" s="1435"/>
    </row>
    <row r="110" spans="1:12" hidden="1">
      <c r="A110" s="1554"/>
      <c r="B110" s="425"/>
      <c r="C110" s="561"/>
      <c r="D110" s="561"/>
      <c r="E110" s="561"/>
      <c r="F110" s="822"/>
      <c r="G110" s="822"/>
      <c r="H110" s="178">
        <f t="shared" si="3"/>
        <v>0</v>
      </c>
      <c r="I110" s="1178">
        <f t="shared" si="2"/>
        <v>0</v>
      </c>
    </row>
    <row r="111" spans="1:12" hidden="1">
      <c r="A111" s="1554"/>
      <c r="B111" s="425"/>
      <c r="C111" s="561"/>
      <c r="D111" s="561"/>
      <c r="E111" s="561"/>
      <c r="F111" s="822"/>
      <c r="G111" s="822"/>
      <c r="H111" s="178">
        <f t="shared" si="3"/>
        <v>0</v>
      </c>
      <c r="I111" s="1178">
        <f t="shared" si="2"/>
        <v>0</v>
      </c>
    </row>
    <row r="112" spans="1:12" hidden="1">
      <c r="A112" s="1554"/>
      <c r="B112" s="425"/>
      <c r="C112" s="561"/>
      <c r="D112" s="561"/>
      <c r="E112" s="561"/>
      <c r="F112" s="822"/>
      <c r="G112" s="822"/>
      <c r="H112" s="178">
        <f t="shared" si="3"/>
        <v>0</v>
      </c>
      <c r="I112" s="1178">
        <f t="shared" si="2"/>
        <v>0</v>
      </c>
    </row>
    <row r="113" spans="1:12">
      <c r="A113" s="1555"/>
      <c r="B113" s="428" t="s">
        <v>985</v>
      </c>
      <c r="C113" s="559">
        <f>SUM(C107:C112)</f>
        <v>428650</v>
      </c>
      <c r="D113" s="559">
        <f>SUM(D107:D112)</f>
        <v>0</v>
      </c>
      <c r="E113" s="559">
        <f>SUM(E107:E112)</f>
        <v>428650</v>
      </c>
      <c r="F113" s="115"/>
      <c r="G113" s="115"/>
      <c r="H113" s="1436">
        <f t="shared" si="3"/>
        <v>0</v>
      </c>
      <c r="I113" s="1436">
        <f t="shared" si="2"/>
        <v>857300</v>
      </c>
      <c r="J113" s="1435"/>
      <c r="K113" s="1435"/>
      <c r="L113" s="1435"/>
    </row>
    <row r="114" spans="1:12" ht="93.75">
      <c r="A114" s="1553" t="s">
        <v>1128</v>
      </c>
      <c r="B114" s="1154" t="s">
        <v>1209</v>
      </c>
      <c r="C114" s="590">
        <v>1000000</v>
      </c>
      <c r="D114" s="590"/>
      <c r="E114" s="590">
        <v>1000000</v>
      </c>
      <c r="F114" s="822"/>
      <c r="G114" s="822"/>
      <c r="H114" s="1436">
        <f t="shared" si="3"/>
        <v>0</v>
      </c>
      <c r="I114" s="1436">
        <f t="shared" si="2"/>
        <v>2000000</v>
      </c>
      <c r="J114" s="1435"/>
      <c r="K114" s="1435"/>
      <c r="L114" s="1435"/>
    </row>
    <row r="115" spans="1:12">
      <c r="A115" s="1555"/>
      <c r="B115" s="428" t="s">
        <v>985</v>
      </c>
      <c r="C115" s="559">
        <f>C114</f>
        <v>1000000</v>
      </c>
      <c r="D115" s="559">
        <f>D114</f>
        <v>0</v>
      </c>
      <c r="E115" s="559">
        <f>E114</f>
        <v>1000000</v>
      </c>
      <c r="F115" s="115"/>
      <c r="G115" s="115"/>
      <c r="H115" s="1436">
        <f t="shared" si="3"/>
        <v>0</v>
      </c>
      <c r="I115" s="1436">
        <f t="shared" si="2"/>
        <v>2000000</v>
      </c>
      <c r="J115" s="1435"/>
      <c r="K115" s="1435"/>
      <c r="L115" s="1435"/>
    </row>
    <row r="116" spans="1:12" ht="75">
      <c r="A116" s="1553" t="s">
        <v>1142</v>
      </c>
      <c r="B116" s="1154" t="s">
        <v>1210</v>
      </c>
      <c r="C116" s="590">
        <v>458291</v>
      </c>
      <c r="D116" s="590"/>
      <c r="E116" s="590">
        <v>458291</v>
      </c>
      <c r="F116" s="822"/>
      <c r="G116" s="822"/>
      <c r="H116" s="1436">
        <f t="shared" si="3"/>
        <v>0</v>
      </c>
      <c r="I116" s="1436">
        <f t="shared" si="2"/>
        <v>916582</v>
      </c>
      <c r="J116" s="1435"/>
      <c r="K116" s="1435"/>
      <c r="L116" s="1435"/>
    </row>
    <row r="117" spans="1:12">
      <c r="A117" s="1555"/>
      <c r="B117" s="428" t="s">
        <v>985</v>
      </c>
      <c r="C117" s="559">
        <f>C116</f>
        <v>458291</v>
      </c>
      <c r="D117" s="559">
        <f>D116</f>
        <v>0</v>
      </c>
      <c r="E117" s="559">
        <f>E116</f>
        <v>458291</v>
      </c>
      <c r="F117" s="115"/>
      <c r="G117" s="115"/>
      <c r="H117" s="1436">
        <f t="shared" si="3"/>
        <v>0</v>
      </c>
      <c r="I117" s="1436">
        <f t="shared" si="2"/>
        <v>916582</v>
      </c>
      <c r="J117" s="1435"/>
      <c r="K117" s="1435"/>
      <c r="L117" s="1435"/>
    </row>
    <row r="118" spans="1:12" ht="37.5">
      <c r="A118" s="1553" t="s">
        <v>1150</v>
      </c>
      <c r="B118" s="1180" t="s">
        <v>1251</v>
      </c>
      <c r="C118" s="1181">
        <v>11000</v>
      </c>
      <c r="D118" s="1181"/>
      <c r="E118" s="1181">
        <v>11000</v>
      </c>
      <c r="F118" s="1177"/>
      <c r="G118" s="1177"/>
      <c r="H118" s="1436">
        <f>E118+D118-C118</f>
        <v>0</v>
      </c>
      <c r="I118" s="1436">
        <f t="shared" si="2"/>
        <v>22000</v>
      </c>
      <c r="J118" s="1435"/>
      <c r="K118" s="1435"/>
      <c r="L118" s="1435"/>
    </row>
    <row r="119" spans="1:12" hidden="1">
      <c r="A119" s="1554"/>
      <c r="B119" s="1180"/>
      <c r="C119" s="1181"/>
      <c r="D119" s="1181"/>
      <c r="E119" s="1181"/>
      <c r="F119" s="1177"/>
      <c r="G119" s="1177"/>
      <c r="H119" s="1178">
        <f>E119+D119-C119</f>
        <v>0</v>
      </c>
      <c r="I119" s="1178">
        <f t="shared" si="2"/>
        <v>0</v>
      </c>
      <c r="J119" s="1179"/>
    </row>
    <row r="120" spans="1:12">
      <c r="A120" s="1555"/>
      <c r="B120" s="428" t="s">
        <v>985</v>
      </c>
      <c r="C120" s="559">
        <f>C118</f>
        <v>11000</v>
      </c>
      <c r="D120" s="559">
        <f>D118</f>
        <v>0</v>
      </c>
      <c r="E120" s="559">
        <f>E118</f>
        <v>11000</v>
      </c>
      <c r="F120" s="115"/>
      <c r="G120" s="115"/>
      <c r="H120" s="1436">
        <f>E120+D120-C120</f>
        <v>0</v>
      </c>
      <c r="I120" s="1436">
        <f t="shared" si="2"/>
        <v>22000</v>
      </c>
      <c r="J120" s="1435"/>
      <c r="K120" s="1435"/>
      <c r="L120" s="1435"/>
    </row>
    <row r="121" spans="1:12" ht="93.75">
      <c r="A121" s="1553" t="s">
        <v>1092</v>
      </c>
      <c r="B121" s="1175" t="s">
        <v>1254</v>
      </c>
      <c r="C121" s="1181">
        <v>11000</v>
      </c>
      <c r="D121" s="1181"/>
      <c r="E121" s="1181">
        <v>11000</v>
      </c>
      <c r="F121" s="1177"/>
      <c r="G121" s="1177"/>
      <c r="H121" s="1436">
        <f t="shared" ref="H121:H155" si="4">E121+D121-C121</f>
        <v>0</v>
      </c>
      <c r="I121" s="1436">
        <f t="shared" si="2"/>
        <v>22000</v>
      </c>
      <c r="J121" s="1435"/>
      <c r="K121" s="1435"/>
      <c r="L121" s="1435"/>
    </row>
    <row r="122" spans="1:12" ht="93.75">
      <c r="A122" s="1554"/>
      <c r="B122" s="1175" t="s">
        <v>1255</v>
      </c>
      <c r="C122" s="1181">
        <v>999000</v>
      </c>
      <c r="D122" s="1181"/>
      <c r="E122" s="1181">
        <v>999000</v>
      </c>
      <c r="F122" s="1177"/>
      <c r="G122" s="1177"/>
      <c r="H122" s="1436">
        <f>E122+D122-C122</f>
        <v>0</v>
      </c>
      <c r="I122" s="1436">
        <f t="shared" si="2"/>
        <v>1998000</v>
      </c>
      <c r="J122" s="1435"/>
      <c r="K122" s="1435"/>
      <c r="L122" s="1435"/>
    </row>
    <row r="123" spans="1:12">
      <c r="A123" s="1555"/>
      <c r="B123" s="428" t="s">
        <v>985</v>
      </c>
      <c r="C123" s="559">
        <f>SUM(C121:C122)</f>
        <v>1010000</v>
      </c>
      <c r="D123" s="559">
        <f>SUM(D121:D122)</f>
        <v>0</v>
      </c>
      <c r="E123" s="559">
        <f>SUM(E121:E122)</f>
        <v>1010000</v>
      </c>
      <c r="F123" s="115"/>
      <c r="G123" s="115"/>
      <c r="H123" s="1436">
        <f t="shared" si="4"/>
        <v>0</v>
      </c>
      <c r="I123" s="1436">
        <f t="shared" si="2"/>
        <v>2020000</v>
      </c>
      <c r="J123" s="1435"/>
      <c r="K123" s="1435"/>
      <c r="L123" s="1435"/>
    </row>
    <row r="124" spans="1:12" ht="187.5">
      <c r="A124" s="1553" t="s">
        <v>1134</v>
      </c>
      <c r="B124" s="1180" t="s">
        <v>1259</v>
      </c>
      <c r="C124" s="1181">
        <v>300000</v>
      </c>
      <c r="D124" s="1181"/>
      <c r="E124" s="1181">
        <v>300000</v>
      </c>
      <c r="F124" s="1177"/>
      <c r="G124" s="1177"/>
      <c r="H124" s="1436">
        <f t="shared" si="4"/>
        <v>0</v>
      </c>
      <c r="I124" s="1436">
        <f t="shared" si="2"/>
        <v>600000</v>
      </c>
      <c r="J124" s="1435"/>
      <c r="K124" s="1435"/>
      <c r="L124" s="1435"/>
    </row>
    <row r="125" spans="1:12" ht="112.5">
      <c r="A125" s="1554"/>
      <c r="B125" s="1180" t="s">
        <v>1260</v>
      </c>
      <c r="C125" s="1181">
        <v>720000</v>
      </c>
      <c r="D125" s="1181"/>
      <c r="E125" s="1181">
        <v>720000</v>
      </c>
      <c r="F125" s="1177"/>
      <c r="G125" s="1177"/>
      <c r="H125" s="1436">
        <f>E125+D125-C125</f>
        <v>0</v>
      </c>
      <c r="I125" s="1436">
        <f t="shared" si="2"/>
        <v>1440000</v>
      </c>
      <c r="J125" s="1435"/>
      <c r="K125" s="1435"/>
      <c r="L125" s="1435"/>
    </row>
    <row r="126" spans="1:12">
      <c r="A126" s="1555"/>
      <c r="B126" s="428" t="s">
        <v>985</v>
      </c>
      <c r="C126" s="559">
        <f>SUM(C124:C125)</f>
        <v>1020000</v>
      </c>
      <c r="D126" s="559">
        <f>SUM(D124:D125)</f>
        <v>0</v>
      </c>
      <c r="E126" s="559">
        <f>SUM(E124:E125)</f>
        <v>1020000</v>
      </c>
      <c r="F126" s="115"/>
      <c r="G126" s="115"/>
      <c r="H126" s="1436">
        <f t="shared" si="4"/>
        <v>0</v>
      </c>
      <c r="I126" s="1436">
        <f t="shared" si="2"/>
        <v>2040000</v>
      </c>
      <c r="J126" s="1435"/>
      <c r="K126" s="1435"/>
      <c r="L126" s="1435"/>
    </row>
    <row r="127" spans="1:12" ht="75">
      <c r="A127" s="1553" t="s">
        <v>1114</v>
      </c>
      <c r="B127" s="1180" t="s">
        <v>1262</v>
      </c>
      <c r="C127" s="1181">
        <v>400000</v>
      </c>
      <c r="D127" s="1181"/>
      <c r="E127" s="1181">
        <v>400000</v>
      </c>
      <c r="F127" s="1177"/>
      <c r="G127" s="1177"/>
      <c r="H127" s="1436">
        <f t="shared" si="4"/>
        <v>0</v>
      </c>
      <c r="I127" s="1436">
        <f t="shared" si="2"/>
        <v>800000</v>
      </c>
      <c r="J127" s="1435"/>
      <c r="K127" s="1435"/>
      <c r="L127" s="1435"/>
    </row>
    <row r="128" spans="1:12">
      <c r="A128" s="1555"/>
      <c r="B128" s="428" t="s">
        <v>985</v>
      </c>
      <c r="C128" s="559">
        <f>C127</f>
        <v>400000</v>
      </c>
      <c r="D128" s="559">
        <f>D127</f>
        <v>0</v>
      </c>
      <c r="E128" s="559">
        <f>E127</f>
        <v>400000</v>
      </c>
      <c r="F128" s="115"/>
      <c r="G128" s="115"/>
      <c r="H128" s="1436">
        <f t="shared" si="4"/>
        <v>0</v>
      </c>
      <c r="I128" s="1436">
        <f t="shared" si="2"/>
        <v>800000</v>
      </c>
      <c r="J128" s="1435"/>
      <c r="K128" s="1435"/>
      <c r="L128" s="1435"/>
    </row>
    <row r="129" spans="1:12" ht="37.5">
      <c r="A129" s="1553" t="s">
        <v>1133</v>
      </c>
      <c r="B129" s="1180" t="s">
        <v>1251</v>
      </c>
      <c r="C129" s="1181">
        <v>11000</v>
      </c>
      <c r="D129" s="1181"/>
      <c r="E129" s="1181">
        <v>11000</v>
      </c>
      <c r="F129" s="1177"/>
      <c r="G129" s="1177"/>
      <c r="H129" s="1436">
        <f t="shared" si="4"/>
        <v>0</v>
      </c>
      <c r="I129" s="1436">
        <f t="shared" si="2"/>
        <v>22000</v>
      </c>
      <c r="J129" s="1435"/>
      <c r="K129" s="1435"/>
      <c r="L129" s="1435"/>
    </row>
    <row r="130" spans="1:12">
      <c r="A130" s="1555"/>
      <c r="B130" s="428" t="s">
        <v>985</v>
      </c>
      <c r="C130" s="559">
        <f>C129</f>
        <v>11000</v>
      </c>
      <c r="D130" s="559">
        <f>D129</f>
        <v>0</v>
      </c>
      <c r="E130" s="559">
        <f>E129</f>
        <v>11000</v>
      </c>
      <c r="F130" s="115"/>
      <c r="G130" s="115"/>
      <c r="H130" s="1436">
        <f t="shared" si="4"/>
        <v>0</v>
      </c>
      <c r="I130" s="1436">
        <f t="shared" si="2"/>
        <v>22000</v>
      </c>
      <c r="J130" s="1435"/>
      <c r="K130" s="1435"/>
      <c r="L130" s="1435"/>
    </row>
    <row r="131" spans="1:12" ht="37.5">
      <c r="A131" s="1553" t="s">
        <v>1093</v>
      </c>
      <c r="B131" s="1180" t="s">
        <v>1283</v>
      </c>
      <c r="C131" s="1181">
        <v>11000</v>
      </c>
      <c r="D131" s="1181"/>
      <c r="E131" s="1181">
        <v>11000</v>
      </c>
      <c r="F131" s="1177"/>
      <c r="G131" s="1177"/>
      <c r="H131" s="1436">
        <f t="shared" si="4"/>
        <v>0</v>
      </c>
      <c r="I131" s="1436">
        <f t="shared" si="2"/>
        <v>22000</v>
      </c>
      <c r="J131" s="1435"/>
      <c r="K131" s="1435"/>
      <c r="L131" s="1435"/>
    </row>
    <row r="132" spans="1:12">
      <c r="A132" s="1555"/>
      <c r="B132" s="428" t="s">
        <v>985</v>
      </c>
      <c r="C132" s="559">
        <f>C131</f>
        <v>11000</v>
      </c>
      <c r="D132" s="559">
        <f>D131</f>
        <v>0</v>
      </c>
      <c r="E132" s="559">
        <f>E131</f>
        <v>11000</v>
      </c>
      <c r="F132" s="115"/>
      <c r="G132" s="115"/>
      <c r="H132" s="1436">
        <f t="shared" si="4"/>
        <v>0</v>
      </c>
      <c r="I132" s="1436">
        <f t="shared" si="2"/>
        <v>22000</v>
      </c>
      <c r="J132" s="1435"/>
      <c r="K132" s="1435"/>
      <c r="L132" s="1435"/>
    </row>
    <row r="133" spans="1:12" ht="131.25">
      <c r="A133" s="1553" t="s">
        <v>1098</v>
      </c>
      <c r="B133" s="1378" t="s">
        <v>2031</v>
      </c>
      <c r="C133" s="1379">
        <v>33196</v>
      </c>
      <c r="D133" s="1379"/>
      <c r="E133" s="1380">
        <v>33196</v>
      </c>
      <c r="F133" s="1381"/>
      <c r="G133" s="1381"/>
      <c r="H133" s="1436">
        <f t="shared" si="4"/>
        <v>0</v>
      </c>
      <c r="I133" s="1436">
        <f t="shared" si="2"/>
        <v>66392</v>
      </c>
      <c r="J133" s="1435"/>
      <c r="K133" s="1435"/>
      <c r="L133" s="1435"/>
    </row>
    <row r="134" spans="1:12">
      <c r="A134" s="1555"/>
      <c r="B134" s="428" t="s">
        <v>985</v>
      </c>
      <c r="C134" s="559">
        <f>C133</f>
        <v>33196</v>
      </c>
      <c r="D134" s="559">
        <f>D133</f>
        <v>0</v>
      </c>
      <c r="E134" s="559">
        <f>E133</f>
        <v>33196</v>
      </c>
      <c r="F134" s="115"/>
      <c r="G134" s="115"/>
      <c r="H134" s="1436">
        <f t="shared" si="4"/>
        <v>0</v>
      </c>
      <c r="I134" s="1436">
        <f t="shared" si="2"/>
        <v>66392</v>
      </c>
      <c r="J134" s="1435"/>
      <c r="K134" s="1435"/>
      <c r="L134" s="1435"/>
    </row>
    <row r="135" spans="1:12" ht="75">
      <c r="A135" s="1553" t="s">
        <v>2040</v>
      </c>
      <c r="B135" s="530" t="s">
        <v>2043</v>
      </c>
      <c r="C135" s="557">
        <f>63543-90</f>
        <v>63453</v>
      </c>
      <c r="D135" s="1413"/>
      <c r="E135" s="557">
        <f>63543-90</f>
        <v>63453</v>
      </c>
      <c r="F135" s="1381"/>
      <c r="G135" s="1381"/>
      <c r="H135" s="1436">
        <f t="shared" si="4"/>
        <v>0</v>
      </c>
      <c r="I135" s="1436">
        <f t="shared" si="2"/>
        <v>126906</v>
      </c>
      <c r="J135" s="1435"/>
      <c r="K135" s="1435"/>
      <c r="L135" s="1435"/>
    </row>
    <row r="136" spans="1:12" ht="75">
      <c r="A136" s="1554"/>
      <c r="B136" s="530" t="s">
        <v>2041</v>
      </c>
      <c r="C136" s="557">
        <f>63453-2013</f>
        <v>61440</v>
      </c>
      <c r="D136" s="1413"/>
      <c r="E136" s="557">
        <f>63453-2013</f>
        <v>61440</v>
      </c>
      <c r="F136" s="1381"/>
      <c r="G136" s="1381"/>
      <c r="H136" s="1436">
        <f>E136+D136-C136</f>
        <v>0</v>
      </c>
      <c r="I136" s="1436">
        <f>SUM(C136:E136)</f>
        <v>122880</v>
      </c>
      <c r="J136" s="1435"/>
      <c r="K136" s="1435"/>
      <c r="L136" s="1435"/>
    </row>
    <row r="137" spans="1:12" ht="75">
      <c r="A137" s="1554"/>
      <c r="B137" s="530" t="s">
        <v>2042</v>
      </c>
      <c r="C137" s="557">
        <f>61440+13098</f>
        <v>74538</v>
      </c>
      <c r="D137" s="1413"/>
      <c r="E137" s="557">
        <f>61440+13098</f>
        <v>74538</v>
      </c>
      <c r="F137" s="1381"/>
      <c r="G137" s="1381"/>
      <c r="H137" s="1436">
        <f>E137+D137-C137</f>
        <v>0</v>
      </c>
      <c r="I137" s="1436">
        <f>SUM(C137:E137)</f>
        <v>149076</v>
      </c>
      <c r="J137" s="1435"/>
      <c r="K137" s="1435"/>
      <c r="L137" s="1435"/>
    </row>
    <row r="138" spans="1:12" hidden="1">
      <c r="A138" s="1554"/>
      <c r="B138" s="1378"/>
      <c r="C138" s="1379"/>
      <c r="D138" s="1379"/>
      <c r="E138" s="1380"/>
      <c r="F138" s="1381"/>
      <c r="G138" s="1381"/>
      <c r="H138" s="1382">
        <f>E138+D138-C138</f>
        <v>0</v>
      </c>
      <c r="I138" s="1382">
        <f>SUM(C138:E138)</f>
        <v>0</v>
      </c>
    </row>
    <row r="139" spans="1:12" hidden="1">
      <c r="A139" s="1554"/>
      <c r="B139" s="1378"/>
      <c r="C139" s="1379"/>
      <c r="D139" s="1379"/>
      <c r="E139" s="1380"/>
      <c r="F139" s="1381"/>
      <c r="G139" s="1381"/>
      <c r="H139" s="1382">
        <f>E139+D139-C139</f>
        <v>0</v>
      </c>
      <c r="I139" s="1382">
        <f>SUM(C139:E139)</f>
        <v>0</v>
      </c>
    </row>
    <row r="140" spans="1:12">
      <c r="A140" s="1555"/>
      <c r="B140" s="428" t="s">
        <v>985</v>
      </c>
      <c r="C140" s="559">
        <f>SUM(C135:C139)</f>
        <v>199431</v>
      </c>
      <c r="D140" s="559">
        <f>SUM(D135:D139)</f>
        <v>0</v>
      </c>
      <c r="E140" s="559">
        <f>SUM(E135:E139)</f>
        <v>199431</v>
      </c>
      <c r="F140" s="115"/>
      <c r="G140" s="115"/>
      <c r="H140" s="1436">
        <f t="shared" si="4"/>
        <v>0</v>
      </c>
      <c r="I140" s="1436">
        <f t="shared" si="2"/>
        <v>398862</v>
      </c>
      <c r="J140" s="1435"/>
      <c r="K140" s="1435"/>
      <c r="L140" s="1435"/>
    </row>
    <row r="141" spans="1:12" ht="93.75">
      <c r="A141" s="1553" t="s">
        <v>2051</v>
      </c>
      <c r="B141" s="1378" t="s">
        <v>2052</v>
      </c>
      <c r="C141" s="1379">
        <v>11000</v>
      </c>
      <c r="D141" s="1379"/>
      <c r="E141" s="1380">
        <v>11000</v>
      </c>
      <c r="F141" s="1381"/>
      <c r="G141" s="1381"/>
      <c r="H141" s="1436">
        <f t="shared" si="4"/>
        <v>0</v>
      </c>
      <c r="I141" s="1436">
        <f t="shared" si="2"/>
        <v>22000</v>
      </c>
      <c r="J141" s="1435"/>
      <c r="K141" s="1435"/>
      <c r="L141" s="1435"/>
    </row>
    <row r="142" spans="1:12">
      <c r="A142" s="1555"/>
      <c r="B142" s="428" t="s">
        <v>985</v>
      </c>
      <c r="C142" s="559">
        <f>C141</f>
        <v>11000</v>
      </c>
      <c r="D142" s="559">
        <f>D141</f>
        <v>0</v>
      </c>
      <c r="E142" s="559">
        <f>E141</f>
        <v>11000</v>
      </c>
      <c r="F142" s="115"/>
      <c r="G142" s="115"/>
      <c r="H142" s="1436">
        <f t="shared" si="4"/>
        <v>0</v>
      </c>
      <c r="I142" s="1436">
        <f t="shared" si="2"/>
        <v>22000</v>
      </c>
      <c r="J142" s="1435"/>
      <c r="K142" s="1435"/>
      <c r="L142" s="1435"/>
    </row>
    <row r="143" spans="1:12" ht="131.25">
      <c r="A143" s="1553" t="s">
        <v>1108</v>
      </c>
      <c r="B143" s="1378" t="s">
        <v>2054</v>
      </c>
      <c r="C143" s="1379">
        <v>386670</v>
      </c>
      <c r="D143" s="1379"/>
      <c r="E143" s="1380">
        <v>386670</v>
      </c>
      <c r="F143" s="1381"/>
      <c r="G143" s="1381"/>
      <c r="H143" s="1436">
        <f t="shared" si="4"/>
        <v>0</v>
      </c>
      <c r="I143" s="1436">
        <f t="shared" si="2"/>
        <v>773340</v>
      </c>
      <c r="J143" s="1435"/>
      <c r="K143" s="1435"/>
      <c r="L143" s="1435"/>
    </row>
    <row r="144" spans="1:12" hidden="1">
      <c r="A144" s="1554"/>
      <c r="B144" s="541"/>
      <c r="C144" s="586"/>
      <c r="D144" s="586"/>
      <c r="E144" s="586"/>
      <c r="F144" s="115"/>
      <c r="G144" s="115"/>
      <c r="H144" s="178">
        <f t="shared" si="4"/>
        <v>0</v>
      </c>
      <c r="I144" s="178">
        <f t="shared" si="2"/>
        <v>0</v>
      </c>
    </row>
    <row r="145" spans="1:12">
      <c r="A145" s="1555"/>
      <c r="B145" s="428" t="s">
        <v>985</v>
      </c>
      <c r="C145" s="559">
        <f>SUM(C143:C144)</f>
        <v>386670</v>
      </c>
      <c r="D145" s="559">
        <f>SUM(D143:D144)</f>
        <v>0</v>
      </c>
      <c r="E145" s="559">
        <f>SUM(E143:E144)</f>
        <v>386670</v>
      </c>
      <c r="F145" s="115"/>
      <c r="G145" s="115"/>
      <c r="H145" s="1436">
        <f t="shared" si="4"/>
        <v>0</v>
      </c>
      <c r="I145" s="1436">
        <f t="shared" si="2"/>
        <v>773340</v>
      </c>
      <c r="J145" s="1435"/>
      <c r="K145" s="1435"/>
      <c r="L145" s="1435"/>
    </row>
    <row r="146" spans="1:12" hidden="1">
      <c r="A146" s="1553" t="s">
        <v>1250</v>
      </c>
      <c r="B146" s="1154"/>
      <c r="C146" s="590"/>
      <c r="D146" s="590"/>
      <c r="E146" s="590"/>
      <c r="F146" s="822"/>
      <c r="G146" s="822"/>
      <c r="H146" s="178">
        <f t="shared" si="4"/>
        <v>0</v>
      </c>
      <c r="I146" s="1178">
        <f t="shared" ref="I146:I156" si="5">SUM(C146:E146)</f>
        <v>0</v>
      </c>
    </row>
    <row r="147" spans="1:12" hidden="1">
      <c r="A147" s="1555"/>
      <c r="B147" s="428" t="s">
        <v>985</v>
      </c>
      <c r="C147" s="559">
        <f>C146</f>
        <v>0</v>
      </c>
      <c r="D147" s="559">
        <f>D146</f>
        <v>0</v>
      </c>
      <c r="E147" s="559">
        <f>E146</f>
        <v>0</v>
      </c>
      <c r="F147" s="115"/>
      <c r="G147" s="115"/>
      <c r="H147" s="178">
        <f t="shared" si="4"/>
        <v>0</v>
      </c>
      <c r="I147" s="1178">
        <f t="shared" si="5"/>
        <v>0</v>
      </c>
    </row>
    <row r="148" spans="1:12" hidden="1">
      <c r="A148" s="1553" t="s">
        <v>1250</v>
      </c>
      <c r="B148" s="1154"/>
      <c r="C148" s="590"/>
      <c r="D148" s="590"/>
      <c r="E148" s="590"/>
      <c r="F148" s="822"/>
      <c r="G148" s="822"/>
      <c r="H148" s="178">
        <f t="shared" si="4"/>
        <v>0</v>
      </c>
      <c r="I148" s="1178">
        <f t="shared" si="5"/>
        <v>0</v>
      </c>
    </row>
    <row r="149" spans="1:12" hidden="1">
      <c r="A149" s="1555"/>
      <c r="B149" s="428" t="s">
        <v>985</v>
      </c>
      <c r="C149" s="559">
        <f>C148</f>
        <v>0</v>
      </c>
      <c r="D149" s="559">
        <f>D148</f>
        <v>0</v>
      </c>
      <c r="E149" s="559">
        <f>E148</f>
        <v>0</v>
      </c>
      <c r="F149" s="115"/>
      <c r="G149" s="115"/>
      <c r="H149" s="178">
        <f t="shared" si="4"/>
        <v>0</v>
      </c>
      <c r="I149" s="1178">
        <f t="shared" si="5"/>
        <v>0</v>
      </c>
    </row>
    <row r="150" spans="1:12" hidden="1">
      <c r="A150" s="1553" t="s">
        <v>1250</v>
      </c>
      <c r="B150" s="1154"/>
      <c r="C150" s="590"/>
      <c r="D150" s="590"/>
      <c r="E150" s="590"/>
      <c r="F150" s="822"/>
      <c r="G150" s="822"/>
      <c r="H150" s="178">
        <f t="shared" si="4"/>
        <v>0</v>
      </c>
      <c r="I150" s="1178">
        <f t="shared" si="5"/>
        <v>0</v>
      </c>
    </row>
    <row r="151" spans="1:12" hidden="1">
      <c r="A151" s="1555"/>
      <c r="B151" s="428" t="s">
        <v>985</v>
      </c>
      <c r="C151" s="559">
        <f>C150</f>
        <v>0</v>
      </c>
      <c r="D151" s="559">
        <f>D150</f>
        <v>0</v>
      </c>
      <c r="E151" s="559">
        <f>E150</f>
        <v>0</v>
      </c>
      <c r="F151" s="115"/>
      <c r="G151" s="115"/>
      <c r="H151" s="178">
        <f t="shared" si="4"/>
        <v>0</v>
      </c>
      <c r="I151" s="1178">
        <f t="shared" si="5"/>
        <v>0</v>
      </c>
    </row>
    <row r="152" spans="1:12" hidden="1">
      <c r="A152" s="1553" t="s">
        <v>1250</v>
      </c>
      <c r="B152" s="1154"/>
      <c r="C152" s="590"/>
      <c r="D152" s="590"/>
      <c r="E152" s="590"/>
      <c r="F152" s="822"/>
      <c r="G152" s="822"/>
      <c r="H152" s="178">
        <f t="shared" si="4"/>
        <v>0</v>
      </c>
      <c r="I152" s="1178">
        <f t="shared" si="5"/>
        <v>0</v>
      </c>
    </row>
    <row r="153" spans="1:12" hidden="1">
      <c r="A153" s="1555"/>
      <c r="B153" s="428" t="s">
        <v>985</v>
      </c>
      <c r="C153" s="559">
        <f>C152</f>
        <v>0</v>
      </c>
      <c r="D153" s="559">
        <f>D152</f>
        <v>0</v>
      </c>
      <c r="E153" s="559">
        <f>E152</f>
        <v>0</v>
      </c>
      <c r="F153" s="115"/>
      <c r="G153" s="115"/>
      <c r="H153" s="178">
        <f t="shared" si="4"/>
        <v>0</v>
      </c>
      <c r="I153" s="1178">
        <f t="shared" si="5"/>
        <v>0</v>
      </c>
    </row>
    <row r="154" spans="1:12" hidden="1">
      <c r="A154" s="1553" t="s">
        <v>1250</v>
      </c>
      <c r="B154" s="1154"/>
      <c r="C154" s="590"/>
      <c r="D154" s="590"/>
      <c r="E154" s="590"/>
      <c r="F154" s="822"/>
      <c r="G154" s="822"/>
      <c r="H154" s="178">
        <f t="shared" si="4"/>
        <v>0</v>
      </c>
      <c r="I154" s="1178">
        <f t="shared" si="5"/>
        <v>0</v>
      </c>
    </row>
    <row r="155" spans="1:12" hidden="1">
      <c r="A155" s="1555"/>
      <c r="B155" s="428" t="s">
        <v>985</v>
      </c>
      <c r="C155" s="559"/>
      <c r="D155" s="559">
        <f>D143</f>
        <v>0</v>
      </c>
      <c r="E155" s="559"/>
      <c r="F155" s="115"/>
      <c r="G155" s="115"/>
      <c r="H155" s="178">
        <f t="shared" si="4"/>
        <v>0</v>
      </c>
      <c r="I155" s="1178">
        <f t="shared" si="5"/>
        <v>0</v>
      </c>
    </row>
    <row r="156" spans="1:12">
      <c r="A156" s="1556" t="s">
        <v>66</v>
      </c>
      <c r="B156" s="1557"/>
      <c r="C156" s="560">
        <f>C11+C14+C16+C19+C24+C26+C28+C30+C32+C36+C38+C43+C45+C50+C71+C76+C78+C81+C87+C90+C92+C94+C96+C98+C100+C102+C52+C54+C106+C113+C115+C117+C120+C123+C126+C128+C130+C132+C134+C140+C142+C145+C147+C149+C151+C153+C155</f>
        <v>25729251</v>
      </c>
      <c r="D156" s="560">
        <f>D11+D14+D16+D19+D24+D26+D28+D30+D32+D36+D38+D43+D45+D50+D71+D76+D78+D81+D87+D90+D92+D94+D96+D98+D100+D102+D52+D54+D106+D113+D115+D117+D120+D123+D126+D128+D130+D132+D134+D140+D142+D145+D147+D149+D151+D153+D155</f>
        <v>0</v>
      </c>
      <c r="E156" s="560">
        <f>E11+E14+E16+E19+E24+E26+E28+E30+E32+E36+E38+E43+E45+E50+E71+E76+E78+E81+E87+E90+E92+E94+E96+E98+E100+E102+E52+E54+E106+E113+E115+E117+E120+E123+E126+E128+E130+E132+E134+E140+E142+E145+E147+E149+E151+E153+E155</f>
        <v>25729251</v>
      </c>
      <c r="F156" s="598" t="e">
        <f>F11+F14+F16+F19+F24+F26+F28+F30+F32+F36+F38+F43+F45+F50+F71+F76+#REF!+F78+F81+F87+F90+F92+F94+F96+F98+F100+F102</f>
        <v>#REF!</v>
      </c>
      <c r="G156" s="598" t="e">
        <f>G11+G14+G16+G19+G24+G26+G28+G30+G32+G36+G38+G43+G45+G50+G71+G76+#REF!+G78+G81+G87+G90+G92+G94+G96+G98+G100+G102</f>
        <v>#REF!</v>
      </c>
      <c r="H156" s="1436">
        <f t="shared" si="3"/>
        <v>0</v>
      </c>
      <c r="I156" s="1436">
        <f t="shared" si="5"/>
        <v>51458502</v>
      </c>
      <c r="J156" s="1435"/>
      <c r="K156" s="1435"/>
      <c r="L156" s="1435"/>
    </row>
    <row r="157" spans="1:12">
      <c r="A157" s="246"/>
      <c r="B157" s="434"/>
      <c r="C157" s="548"/>
      <c r="D157" s="548"/>
      <c r="E157" s="548"/>
      <c r="F157" s="245"/>
      <c r="G157" s="245"/>
      <c r="H157" s="1436">
        <f t="shared" si="3"/>
        <v>0</v>
      </c>
      <c r="I157" s="1436">
        <v>1</v>
      </c>
      <c r="J157" s="1435"/>
      <c r="K157" s="1435"/>
      <c r="L157" s="1435"/>
    </row>
    <row r="158" spans="1:12">
      <c r="A158" s="246"/>
      <c r="B158" s="434"/>
      <c r="C158" s="548"/>
      <c r="D158" s="548"/>
      <c r="E158" s="548"/>
      <c r="F158" s="245"/>
      <c r="G158" s="245"/>
      <c r="H158" s="1436">
        <f t="shared" si="3"/>
        <v>0</v>
      </c>
      <c r="I158" s="1436">
        <v>1</v>
      </c>
      <c r="J158" s="1435"/>
      <c r="K158" s="1435"/>
      <c r="L158" s="1435"/>
    </row>
    <row r="159" spans="1:12">
      <c r="A159" s="163" t="s">
        <v>211</v>
      </c>
      <c r="B159" s="435"/>
      <c r="C159" s="549"/>
      <c r="D159" s="550"/>
      <c r="E159" s="551" t="s">
        <v>212</v>
      </c>
      <c r="F159" s="245"/>
      <c r="G159" s="245"/>
      <c r="H159" s="1436">
        <v>0</v>
      </c>
      <c r="I159" s="1436">
        <v>1</v>
      </c>
      <c r="J159" s="1435"/>
      <c r="K159" s="1435"/>
      <c r="L159" s="1435"/>
    </row>
    <row r="160" spans="1:12">
      <c r="A160" s="246"/>
      <c r="B160" s="434"/>
      <c r="C160" s="548"/>
      <c r="D160" s="548"/>
      <c r="E160" s="548"/>
      <c r="F160" s="245"/>
      <c r="G160" s="245"/>
      <c r="H160" s="1436">
        <f t="shared" si="3"/>
        <v>0</v>
      </c>
      <c r="I160" s="1436">
        <v>1</v>
      </c>
      <c r="J160" s="1435"/>
      <c r="K160" s="1435"/>
      <c r="L160" s="1435"/>
    </row>
    <row r="161" spans="1:12">
      <c r="A161" s="246"/>
      <c r="B161" s="434"/>
      <c r="C161" s="548"/>
      <c r="D161" s="548"/>
      <c r="E161" s="548"/>
      <c r="F161" s="245"/>
      <c r="G161" s="245"/>
      <c r="H161" s="1436">
        <f t="shared" si="3"/>
        <v>0</v>
      </c>
      <c r="I161" s="1436">
        <v>1</v>
      </c>
      <c r="J161" s="1435"/>
      <c r="K161" s="1435"/>
      <c r="L161" s="1435"/>
    </row>
    <row r="162" spans="1:12">
      <c r="C162" s="552"/>
      <c r="D162" s="552"/>
      <c r="E162" s="552"/>
      <c r="F162" s="340"/>
      <c r="H162" s="1436"/>
      <c r="I162" s="1436">
        <v>1</v>
      </c>
      <c r="J162" s="1435"/>
      <c r="K162" s="1435"/>
      <c r="L162" s="1435"/>
    </row>
    <row r="163" spans="1:12">
      <c r="A163" s="246"/>
      <c r="B163" s="434"/>
      <c r="C163" s="548"/>
      <c r="D163" s="548"/>
      <c r="E163" s="548"/>
      <c r="F163" s="245"/>
      <c r="G163" s="245"/>
      <c r="H163" s="1436"/>
      <c r="I163" s="1436">
        <v>1</v>
      </c>
      <c r="J163" s="1435"/>
      <c r="K163" s="1435"/>
      <c r="L163" s="1435"/>
    </row>
    <row r="164" spans="1:12">
      <c r="C164" s="552"/>
      <c r="D164" s="552"/>
      <c r="E164" s="552"/>
      <c r="F164" s="417" t="e">
        <f>F156-дод1!F144</f>
        <v>#REF!</v>
      </c>
      <c r="G164" s="417" t="e">
        <f>G156-дод1!G144</f>
        <v>#REF!</v>
      </c>
      <c r="H164" s="178"/>
      <c r="I164" s="178"/>
    </row>
    <row r="165" spans="1:12" s="67" customFormat="1">
      <c r="A165" s="341"/>
      <c r="B165" s="438"/>
      <c r="C165" s="553"/>
      <c r="D165" s="553"/>
      <c r="E165" s="554"/>
      <c r="F165" s="7"/>
      <c r="G165" s="7"/>
      <c r="H165" s="178"/>
      <c r="I165" s="178"/>
    </row>
    <row r="166" spans="1:12">
      <c r="C166" s="552"/>
      <c r="D166" s="552"/>
      <c r="E166" s="395"/>
      <c r="F166" s="69" t="e">
        <f>F156-дод1!F145</f>
        <v>#REF!</v>
      </c>
      <c r="G166" s="69" t="e">
        <f>G156-дод1!G145</f>
        <v>#REF!</v>
      </c>
      <c r="H166" s="178"/>
      <c r="I166" s="178"/>
    </row>
    <row r="167" spans="1:12">
      <c r="A167" s="7"/>
      <c r="B167" s="7"/>
      <c r="C167" s="552"/>
      <c r="D167" s="552"/>
      <c r="E167" s="552"/>
    </row>
    <row r="168" spans="1:12">
      <c r="C168" s="552"/>
      <c r="D168" s="552"/>
      <c r="E168" s="395"/>
    </row>
    <row r="169" spans="1:12">
      <c r="C169" s="552"/>
      <c r="D169" s="552"/>
      <c r="E169" s="552"/>
    </row>
    <row r="170" spans="1:12" s="376" customFormat="1">
      <c r="A170" s="495"/>
      <c r="B170" s="496"/>
      <c r="C170" s="555"/>
      <c r="D170" s="555"/>
      <c r="E170" s="555"/>
      <c r="F170" s="417" t="e">
        <f>F169-F166</f>
        <v>#REF!</v>
      </c>
      <c r="G170" s="417" t="e">
        <f>G169-G166</f>
        <v>#REF!</v>
      </c>
    </row>
    <row r="171" spans="1:12">
      <c r="C171" s="552"/>
      <c r="D171" s="552"/>
      <c r="E171" s="395"/>
    </row>
    <row r="172" spans="1:12">
      <c r="A172" s="1153"/>
      <c r="B172" s="1154"/>
      <c r="C172" s="590"/>
      <c r="D172" s="590"/>
      <c r="E172" s="590"/>
    </row>
  </sheetData>
  <autoFilter ref="A1:AL171">
    <filterColumn colId="8">
      <colorFilter dxfId="0" cellColor="0"/>
    </filterColumn>
  </autoFilter>
  <mergeCells count="48">
    <mergeCell ref="A150:A151"/>
    <mergeCell ref="A152:A153"/>
    <mergeCell ref="A154:A155"/>
    <mergeCell ref="A133:A134"/>
    <mergeCell ref="A135:A140"/>
    <mergeCell ref="A141:A142"/>
    <mergeCell ref="A143:A145"/>
    <mergeCell ref="A146:A147"/>
    <mergeCell ref="A148:A149"/>
    <mergeCell ref="A118:A120"/>
    <mergeCell ref="A121:A123"/>
    <mergeCell ref="A124:A126"/>
    <mergeCell ref="A127:A128"/>
    <mergeCell ref="A129:A130"/>
    <mergeCell ref="A131:A132"/>
    <mergeCell ref="A4:F4"/>
    <mergeCell ref="A20:A24"/>
    <mergeCell ref="A44:A45"/>
    <mergeCell ref="A46:A50"/>
    <mergeCell ref="A77:A78"/>
    <mergeCell ref="A17:A19"/>
    <mergeCell ref="A97:A98"/>
    <mergeCell ref="A99:A100"/>
    <mergeCell ref="A93:A94"/>
    <mergeCell ref="A95:A96"/>
    <mergeCell ref="A29:A30"/>
    <mergeCell ref="A51:A52"/>
    <mergeCell ref="A53:A54"/>
    <mergeCell ref="A101:A102"/>
    <mergeCell ref="A8:A11"/>
    <mergeCell ref="A55:A71"/>
    <mergeCell ref="A72:A76"/>
    <mergeCell ref="A79:A81"/>
    <mergeCell ref="A82:A87"/>
    <mergeCell ref="A91:A92"/>
    <mergeCell ref="A12:A14"/>
    <mergeCell ref="A15:A16"/>
    <mergeCell ref="A25:A28"/>
    <mergeCell ref="A103:A106"/>
    <mergeCell ref="A107:A113"/>
    <mergeCell ref="A114:A115"/>
    <mergeCell ref="A116:A117"/>
    <mergeCell ref="A156:B156"/>
    <mergeCell ref="A31:A32"/>
    <mergeCell ref="A33:A36"/>
    <mergeCell ref="A37:A38"/>
    <mergeCell ref="A39:A43"/>
    <mergeCell ref="A88:A90"/>
  </mergeCells>
  <printOptions horizontalCentered="1"/>
  <pageMargins left="0.39370078740157483" right="0" top="7.874015748031496E-2" bottom="0" header="0" footer="0"/>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filterMode="1"/>
  <dimension ref="A1:AP2020"/>
  <sheetViews>
    <sheetView view="pageBreakPreview" zoomScale="75" zoomScaleNormal="65" zoomScaleSheetLayoutView="75" workbookViewId="0">
      <pane xSplit="2" ySplit="7" topLeftCell="C1969" activePane="bottomRight" state="frozen"/>
      <selection pane="topRight" activeCell="C1" sqref="C1"/>
      <selection pane="bottomLeft" activeCell="A8" sqref="A8"/>
      <selection pane="bottomRight" activeCell="I2011" sqref="I2011"/>
    </sheetView>
  </sheetViews>
  <sheetFormatPr defaultRowHeight="18.75"/>
  <cols>
    <col min="1" max="1" width="26.85546875" style="222" customWidth="1"/>
    <col min="2" max="2" width="44.42578125" style="418" customWidth="1"/>
    <col min="3" max="3" width="20.7109375" style="418" customWidth="1"/>
    <col min="4" max="4" width="22.5703125" style="418" customWidth="1"/>
    <col min="5" max="5" width="21.5703125" style="92" customWidth="1"/>
    <col min="6" max="6" width="16.85546875" style="7" hidden="1" customWidth="1"/>
    <col min="7" max="7" width="13.7109375" style="7" hidden="1" customWidth="1"/>
    <col min="8" max="8" width="16.42578125" style="7" customWidth="1"/>
    <col min="9" max="9" width="17.140625" style="7" customWidth="1"/>
    <col min="10" max="16384" width="9.140625" style="7"/>
  </cols>
  <sheetData>
    <row r="1" spans="1:42" s="1170" customFormat="1" ht="23.45" customHeight="1">
      <c r="A1" s="1155"/>
      <c r="B1" s="1156"/>
      <c r="C1" s="1156"/>
      <c r="D1" s="1157" t="s">
        <v>1238</v>
      </c>
      <c r="E1" s="1158"/>
      <c r="F1" s="104"/>
      <c r="G1" s="18"/>
      <c r="H1" s="1169"/>
      <c r="I1" s="1169">
        <v>1</v>
      </c>
      <c r="J1" s="1169"/>
      <c r="K1" s="1387"/>
      <c r="L1" s="1169"/>
      <c r="M1" s="1169"/>
      <c r="N1" s="1169"/>
      <c r="O1" s="1169"/>
      <c r="P1" s="1169"/>
      <c r="Q1" s="1169"/>
      <c r="R1" s="1169"/>
      <c r="S1" s="1169"/>
      <c r="T1" s="1169"/>
      <c r="U1" s="1169"/>
      <c r="V1" s="1169"/>
      <c r="W1" s="1169"/>
      <c r="X1" s="1169"/>
      <c r="Y1" s="1169"/>
      <c r="Z1" s="1169"/>
      <c r="AA1" s="1169"/>
      <c r="AB1" s="1169"/>
      <c r="AC1" s="1169"/>
      <c r="AD1" s="1169"/>
      <c r="AE1" s="1169"/>
      <c r="AF1" s="1169"/>
      <c r="AG1" s="1169"/>
      <c r="AH1" s="1169"/>
      <c r="AI1" s="1169"/>
      <c r="AJ1" s="1169"/>
      <c r="AK1" s="1169"/>
      <c r="AL1" s="1169"/>
      <c r="AM1" s="1169"/>
      <c r="AN1" s="1169"/>
      <c r="AO1" s="1169"/>
      <c r="AP1" s="1169"/>
    </row>
    <row r="2" spans="1:42" s="1170" customFormat="1" ht="18.600000000000001" customHeight="1">
      <c r="A2" s="1159"/>
      <c r="B2" s="1160"/>
      <c r="C2" s="1160"/>
      <c r="D2" s="1157" t="s">
        <v>368</v>
      </c>
      <c r="E2" s="1158"/>
      <c r="F2" s="104"/>
      <c r="G2" s="18"/>
      <c r="H2" s="1169"/>
      <c r="I2" s="1169">
        <v>1</v>
      </c>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c r="AJ2" s="1169"/>
      <c r="AK2" s="1169"/>
      <c r="AL2" s="1169"/>
      <c r="AM2" s="1169"/>
      <c r="AN2" s="1169"/>
      <c r="AO2" s="1169"/>
      <c r="AP2" s="1169"/>
    </row>
    <row r="3" spans="1:42" s="1170" customFormat="1">
      <c r="A3" s="1159"/>
      <c r="B3" s="1160"/>
      <c r="C3" s="1160"/>
      <c r="D3" s="1157" t="s">
        <v>2155</v>
      </c>
      <c r="E3" s="1158"/>
      <c r="F3" s="104"/>
      <c r="G3" s="18"/>
      <c r="H3" s="1169"/>
      <c r="I3" s="1169">
        <v>1</v>
      </c>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c r="AG3" s="1169"/>
      <c r="AH3" s="1169"/>
      <c r="AI3" s="1169"/>
      <c r="AJ3" s="1169"/>
      <c r="AK3" s="1169"/>
      <c r="AL3" s="1169"/>
      <c r="AM3" s="1169"/>
      <c r="AN3" s="1169"/>
      <c r="AO3" s="1169"/>
      <c r="AP3" s="1169"/>
    </row>
    <row r="4" spans="1:42" s="1170" customFormat="1" ht="37.5" customHeight="1">
      <c r="A4" s="1560" t="s">
        <v>958</v>
      </c>
      <c r="B4" s="1560"/>
      <c r="C4" s="1560"/>
      <c r="D4" s="1560"/>
      <c r="E4" s="1561"/>
      <c r="F4" s="1562"/>
      <c r="G4" s="5"/>
      <c r="H4" s="1169"/>
      <c r="I4" s="1169">
        <v>1</v>
      </c>
      <c r="J4" s="1169"/>
      <c r="K4" s="1169"/>
      <c r="L4" s="1387"/>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1169"/>
      <c r="AJ4" s="1169"/>
      <c r="AK4" s="1169"/>
      <c r="AL4" s="1169"/>
      <c r="AM4" s="1169"/>
      <c r="AN4" s="1169"/>
      <c r="AO4" s="1169"/>
      <c r="AP4" s="1169"/>
    </row>
    <row r="5" spans="1:42" s="1171" customFormat="1" ht="16.5" customHeight="1">
      <c r="A5" s="1161"/>
      <c r="B5" s="1162"/>
      <c r="C5" s="1162"/>
      <c r="D5" s="1162"/>
      <c r="E5" s="1163" t="s">
        <v>982</v>
      </c>
      <c r="F5" s="105"/>
      <c r="G5" s="106"/>
      <c r="I5" s="1171">
        <v>1</v>
      </c>
      <c r="L5" s="1387"/>
    </row>
    <row r="6" spans="1:42" s="1171" customFormat="1" ht="54.75" customHeight="1">
      <c r="A6" s="1164" t="s">
        <v>93</v>
      </c>
      <c r="B6" s="1165" t="s">
        <v>83</v>
      </c>
      <c r="C6" s="1165" t="s">
        <v>984</v>
      </c>
      <c r="D6" s="1166" t="s">
        <v>64</v>
      </c>
      <c r="E6" s="1166" t="s">
        <v>65</v>
      </c>
      <c r="F6" s="105"/>
      <c r="G6" s="106"/>
      <c r="I6" s="1171">
        <v>1</v>
      </c>
      <c r="L6" s="1387"/>
    </row>
    <row r="7" spans="1:42" s="1171" customFormat="1" ht="18" customHeight="1">
      <c r="A7" s="1167">
        <v>1</v>
      </c>
      <c r="B7" s="1168">
        <v>2</v>
      </c>
      <c r="C7" s="1168">
        <v>3</v>
      </c>
      <c r="D7" s="1165">
        <v>4</v>
      </c>
      <c r="E7" s="1166">
        <v>5</v>
      </c>
      <c r="F7" s="105"/>
      <c r="G7" s="106"/>
      <c r="I7" s="1171">
        <v>1</v>
      </c>
    </row>
    <row r="8" spans="1:42" s="109" customFormat="1" hidden="1">
      <c r="A8" s="1558" t="s">
        <v>284</v>
      </c>
      <c r="B8" s="532"/>
      <c r="C8" s="510"/>
      <c r="D8" s="510"/>
      <c r="E8" s="510"/>
      <c r="F8" s="178"/>
      <c r="G8" s="178"/>
      <c r="H8" s="178">
        <f>E8+D8-C8</f>
        <v>0</v>
      </c>
      <c r="I8" s="178">
        <f>SUM(C8:E8)</f>
        <v>0</v>
      </c>
    </row>
    <row r="9" spans="1:42" hidden="1">
      <c r="A9" s="1558"/>
      <c r="B9" s="530"/>
      <c r="C9" s="573"/>
      <c r="D9" s="573"/>
      <c r="E9" s="574"/>
      <c r="F9" s="69"/>
      <c r="G9" s="69"/>
      <c r="H9" s="178">
        <f t="shared" ref="H9:H72" si="0">E9+D9-C9</f>
        <v>0</v>
      </c>
      <c r="I9" s="178">
        <f t="shared" ref="I9:I72" si="1">SUM(C9:E9)</f>
        <v>0</v>
      </c>
      <c r="J9" s="109"/>
    </row>
    <row r="10" spans="1:42" s="622" customFormat="1" hidden="1">
      <c r="A10" s="1558"/>
      <c r="B10" s="617"/>
      <c r="C10" s="618"/>
      <c r="D10" s="618"/>
      <c r="E10" s="624"/>
      <c r="F10" s="629"/>
      <c r="G10" s="629"/>
      <c r="H10" s="178">
        <f t="shared" si="0"/>
        <v>0</v>
      </c>
      <c r="I10" s="178">
        <f t="shared" si="1"/>
        <v>0</v>
      </c>
      <c r="J10" s="621"/>
    </row>
    <row r="11" spans="1:42" hidden="1">
      <c r="A11" s="1558"/>
      <c r="B11" s="425"/>
      <c r="C11" s="493"/>
      <c r="D11" s="493"/>
      <c r="E11" s="493"/>
      <c r="F11" s="69"/>
      <c r="G11" s="69"/>
      <c r="H11" s="178">
        <f t="shared" si="0"/>
        <v>0</v>
      </c>
      <c r="I11" s="178">
        <f t="shared" si="1"/>
        <v>0</v>
      </c>
      <c r="J11" s="109"/>
    </row>
    <row r="12" spans="1:42" hidden="1">
      <c r="A12" s="1558"/>
      <c r="B12" s="425"/>
      <c r="C12" s="493"/>
      <c r="D12" s="493"/>
      <c r="E12" s="493"/>
      <c r="F12" s="69"/>
      <c r="G12" s="69"/>
      <c r="H12" s="178">
        <f t="shared" si="0"/>
        <v>0</v>
      </c>
      <c r="I12" s="178">
        <f t="shared" si="1"/>
        <v>0</v>
      </c>
      <c r="J12" s="109"/>
    </row>
    <row r="13" spans="1:42" hidden="1">
      <c r="A13" s="1558"/>
      <c r="B13" s="425"/>
      <c r="C13" s="493"/>
      <c r="D13" s="493"/>
      <c r="E13" s="493"/>
      <c r="F13" s="69"/>
      <c r="G13" s="69"/>
      <c r="H13" s="178">
        <f t="shared" si="0"/>
        <v>0</v>
      </c>
      <c r="I13" s="178">
        <f t="shared" si="1"/>
        <v>0</v>
      </c>
      <c r="J13" s="109"/>
    </row>
    <row r="14" spans="1:42" hidden="1">
      <c r="A14" s="1558"/>
      <c r="B14" s="425"/>
      <c r="C14" s="493"/>
      <c r="D14" s="493"/>
      <c r="E14" s="493"/>
      <c r="F14" s="69"/>
      <c r="G14" s="69"/>
      <c r="H14" s="178">
        <f t="shared" si="0"/>
        <v>0</v>
      </c>
      <c r="I14" s="178">
        <f t="shared" si="1"/>
        <v>0</v>
      </c>
      <c r="J14" s="109"/>
    </row>
    <row r="15" spans="1:42" hidden="1">
      <c r="A15" s="1558"/>
      <c r="B15" s="425"/>
      <c r="C15" s="561"/>
      <c r="D15" s="561"/>
      <c r="E15" s="493"/>
      <c r="F15" s="69"/>
      <c r="G15" s="69"/>
      <c r="H15" s="178">
        <f t="shared" si="0"/>
        <v>0</v>
      </c>
      <c r="I15" s="178">
        <f t="shared" si="1"/>
        <v>0</v>
      </c>
      <c r="J15" s="109"/>
    </row>
    <row r="16" spans="1:42" hidden="1">
      <c r="A16" s="1558"/>
      <c r="B16" s="425"/>
      <c r="C16" s="561"/>
      <c r="D16" s="561"/>
      <c r="E16" s="493"/>
      <c r="F16" s="69"/>
      <c r="G16" s="69"/>
      <c r="H16" s="178">
        <f t="shared" si="0"/>
        <v>0</v>
      </c>
      <c r="I16" s="178">
        <f t="shared" si="1"/>
        <v>0</v>
      </c>
      <c r="J16" s="109"/>
    </row>
    <row r="17" spans="1:10" hidden="1">
      <c r="A17" s="1558"/>
      <c r="B17" s="425"/>
      <c r="C17" s="561"/>
      <c r="D17" s="561"/>
      <c r="E17" s="493"/>
      <c r="F17" s="69"/>
      <c r="G17" s="69"/>
      <c r="H17" s="178">
        <f t="shared" si="0"/>
        <v>0</v>
      </c>
      <c r="I17" s="178">
        <f t="shared" si="1"/>
        <v>0</v>
      </c>
      <c r="J17" s="109"/>
    </row>
    <row r="18" spans="1:10" hidden="1">
      <c r="A18" s="1558"/>
      <c r="B18" s="425"/>
      <c r="C18" s="561"/>
      <c r="D18" s="561"/>
      <c r="E18" s="493"/>
      <c r="F18" s="69"/>
      <c r="G18" s="69"/>
      <c r="H18" s="178">
        <f t="shared" si="0"/>
        <v>0</v>
      </c>
      <c r="I18" s="178">
        <f t="shared" si="1"/>
        <v>0</v>
      </c>
      <c r="J18" s="109"/>
    </row>
    <row r="19" spans="1:10" hidden="1">
      <c r="A19" s="1558"/>
      <c r="B19" s="425"/>
      <c r="C19" s="561"/>
      <c r="D19" s="561"/>
      <c r="E19" s="493"/>
      <c r="F19" s="69"/>
      <c r="G19" s="69"/>
      <c r="H19" s="178">
        <f t="shared" si="0"/>
        <v>0</v>
      </c>
      <c r="I19" s="178">
        <f t="shared" si="1"/>
        <v>0</v>
      </c>
      <c r="J19" s="109"/>
    </row>
    <row r="20" spans="1:10" hidden="1">
      <c r="A20" s="1558"/>
      <c r="B20" s="426"/>
      <c r="C20" s="493"/>
      <c r="D20" s="493"/>
      <c r="E20" s="493"/>
      <c r="F20" s="69"/>
      <c r="G20" s="69"/>
      <c r="H20" s="178">
        <f t="shared" si="0"/>
        <v>0</v>
      </c>
      <c r="I20" s="178">
        <f t="shared" si="1"/>
        <v>0</v>
      </c>
      <c r="J20" s="109"/>
    </row>
    <row r="21" spans="1:10" hidden="1">
      <c r="A21" s="1558"/>
      <c r="B21" s="426"/>
      <c r="C21" s="493"/>
      <c r="D21" s="493"/>
      <c r="E21" s="493"/>
      <c r="F21" s="69"/>
      <c r="G21" s="69"/>
      <c r="H21" s="178">
        <f t="shared" si="0"/>
        <v>0</v>
      </c>
      <c r="I21" s="178">
        <f t="shared" si="1"/>
        <v>0</v>
      </c>
      <c r="J21" s="109"/>
    </row>
    <row r="22" spans="1:10" hidden="1">
      <c r="A22" s="1558"/>
      <c r="B22" s="427"/>
      <c r="C22" s="575"/>
      <c r="D22" s="575"/>
      <c r="E22" s="576"/>
      <c r="F22" s="69"/>
      <c r="G22" s="69"/>
      <c r="H22" s="178">
        <f t="shared" si="0"/>
        <v>0</v>
      </c>
      <c r="I22" s="178">
        <f t="shared" si="1"/>
        <v>0</v>
      </c>
      <c r="J22" s="109"/>
    </row>
    <row r="23" spans="1:10" hidden="1">
      <c r="A23" s="1558"/>
      <c r="B23" s="427"/>
      <c r="C23" s="575"/>
      <c r="D23" s="575"/>
      <c r="E23" s="575"/>
      <c r="F23" s="69"/>
      <c r="G23" s="69"/>
      <c r="H23" s="178">
        <f t="shared" si="0"/>
        <v>0</v>
      </c>
      <c r="I23" s="178">
        <f t="shared" si="1"/>
        <v>0</v>
      </c>
      <c r="J23" s="109"/>
    </row>
    <row r="24" spans="1:10" hidden="1">
      <c r="A24" s="1558"/>
      <c r="B24" s="425"/>
      <c r="C24" s="561"/>
      <c r="D24" s="493"/>
      <c r="E24" s="493"/>
      <c r="F24" s="69"/>
      <c r="G24" s="69"/>
      <c r="H24" s="178">
        <f t="shared" si="0"/>
        <v>0</v>
      </c>
      <c r="I24" s="178">
        <f t="shared" si="1"/>
        <v>0</v>
      </c>
      <c r="J24" s="109"/>
    </row>
    <row r="25" spans="1:10" hidden="1">
      <c r="A25" s="1558"/>
      <c r="B25" s="425"/>
      <c r="C25" s="561"/>
      <c r="D25" s="493"/>
      <c r="E25" s="493"/>
      <c r="F25" s="69"/>
      <c r="G25" s="69"/>
      <c r="H25" s="178">
        <f t="shared" si="0"/>
        <v>0</v>
      </c>
      <c r="I25" s="178">
        <f t="shared" si="1"/>
        <v>0</v>
      </c>
      <c r="J25" s="109"/>
    </row>
    <row r="26" spans="1:10" hidden="1">
      <c r="A26" s="1558"/>
      <c r="B26" s="425"/>
      <c r="C26" s="561"/>
      <c r="D26" s="493"/>
      <c r="E26" s="493"/>
      <c r="F26" s="69"/>
      <c r="G26" s="69"/>
      <c r="H26" s="178">
        <f t="shared" si="0"/>
        <v>0</v>
      </c>
      <c r="I26" s="178">
        <f t="shared" si="1"/>
        <v>0</v>
      </c>
      <c r="J26" s="109"/>
    </row>
    <row r="27" spans="1:10" hidden="1">
      <c r="A27" s="1558"/>
      <c r="B27" s="425"/>
      <c r="C27" s="493"/>
      <c r="D27" s="493"/>
      <c r="E27" s="493"/>
      <c r="F27" s="69"/>
      <c r="G27" s="69"/>
      <c r="H27" s="178">
        <f t="shared" si="0"/>
        <v>0</v>
      </c>
      <c r="I27" s="178">
        <f t="shared" si="1"/>
        <v>0</v>
      </c>
      <c r="J27" s="109"/>
    </row>
    <row r="28" spans="1:10" hidden="1">
      <c r="A28" s="1558"/>
      <c r="B28" s="425"/>
      <c r="C28" s="493"/>
      <c r="D28" s="493"/>
      <c r="E28" s="493"/>
      <c r="F28" s="69"/>
      <c r="G28" s="69"/>
      <c r="H28" s="178">
        <f t="shared" si="0"/>
        <v>0</v>
      </c>
      <c r="I28" s="178">
        <f t="shared" si="1"/>
        <v>0</v>
      </c>
      <c r="J28" s="109"/>
    </row>
    <row r="29" spans="1:10" hidden="1">
      <c r="A29" s="1558"/>
      <c r="B29" s="425"/>
      <c r="C29" s="493"/>
      <c r="D29" s="493"/>
      <c r="E29" s="493"/>
      <c r="F29" s="69"/>
      <c r="G29" s="69"/>
      <c r="H29" s="178">
        <f t="shared" si="0"/>
        <v>0</v>
      </c>
      <c r="I29" s="178">
        <f t="shared" si="1"/>
        <v>0</v>
      </c>
      <c r="J29" s="109"/>
    </row>
    <row r="30" spans="1:10" hidden="1">
      <c r="A30" s="1558"/>
      <c r="B30" s="425"/>
      <c r="C30" s="561"/>
      <c r="D30" s="561"/>
      <c r="E30" s="493"/>
      <c r="F30" s="69"/>
      <c r="G30" s="69"/>
      <c r="H30" s="178">
        <f t="shared" si="0"/>
        <v>0</v>
      </c>
      <c r="I30" s="178">
        <f t="shared" si="1"/>
        <v>0</v>
      </c>
      <c r="J30" s="109"/>
    </row>
    <row r="31" spans="1:10" hidden="1">
      <c r="A31" s="1558"/>
      <c r="B31" s="425"/>
      <c r="C31" s="561"/>
      <c r="D31" s="561"/>
      <c r="E31" s="493"/>
      <c r="F31" s="69"/>
      <c r="G31" s="69"/>
      <c r="H31" s="178">
        <f t="shared" si="0"/>
        <v>0</v>
      </c>
      <c r="I31" s="178">
        <f t="shared" si="1"/>
        <v>0</v>
      </c>
      <c r="J31" s="109"/>
    </row>
    <row r="32" spans="1:10" hidden="1">
      <c r="A32" s="1558"/>
      <c r="B32" s="425"/>
      <c r="C32" s="561"/>
      <c r="D32" s="561"/>
      <c r="E32" s="493"/>
      <c r="F32" s="69"/>
      <c r="G32" s="69"/>
      <c r="H32" s="178">
        <f t="shared" si="0"/>
        <v>0</v>
      </c>
      <c r="I32" s="178">
        <f t="shared" si="1"/>
        <v>0</v>
      </c>
      <c r="J32" s="109"/>
    </row>
    <row r="33" spans="1:10" hidden="1">
      <c r="A33" s="1558"/>
      <c r="B33" s="425"/>
      <c r="C33" s="561"/>
      <c r="D33" s="561"/>
      <c r="E33" s="493"/>
      <c r="F33" s="69"/>
      <c r="G33" s="69"/>
      <c r="H33" s="178">
        <f t="shared" si="0"/>
        <v>0</v>
      </c>
      <c r="I33" s="178">
        <f t="shared" si="1"/>
        <v>0</v>
      </c>
      <c r="J33" s="109"/>
    </row>
    <row r="34" spans="1:10" hidden="1">
      <c r="A34" s="1558"/>
      <c r="B34" s="425"/>
      <c r="C34" s="561"/>
      <c r="D34" s="561"/>
      <c r="E34" s="493"/>
      <c r="F34" s="69"/>
      <c r="G34" s="69"/>
      <c r="H34" s="178">
        <f t="shared" si="0"/>
        <v>0</v>
      </c>
      <c r="I34" s="178">
        <f t="shared" si="1"/>
        <v>0</v>
      </c>
      <c r="J34" s="109"/>
    </row>
    <row r="35" spans="1:10" hidden="1">
      <c r="A35" s="1558"/>
      <c r="B35" s="425"/>
      <c r="C35" s="561"/>
      <c r="D35" s="561"/>
      <c r="E35" s="493"/>
      <c r="F35" s="69"/>
      <c r="G35" s="69"/>
      <c r="H35" s="178">
        <f t="shared" si="0"/>
        <v>0</v>
      </c>
      <c r="I35" s="178">
        <f t="shared" si="1"/>
        <v>0</v>
      </c>
      <c r="J35" s="109"/>
    </row>
    <row r="36" spans="1:10" hidden="1">
      <c r="A36" s="1558"/>
      <c r="B36" s="425"/>
      <c r="C36" s="561"/>
      <c r="D36" s="561"/>
      <c r="E36" s="493"/>
      <c r="F36" s="69"/>
      <c r="G36" s="69"/>
      <c r="H36" s="178">
        <f t="shared" si="0"/>
        <v>0</v>
      </c>
      <c r="I36" s="178">
        <f t="shared" si="1"/>
        <v>0</v>
      </c>
      <c r="J36" s="109"/>
    </row>
    <row r="37" spans="1:10" hidden="1">
      <c r="A37" s="1558"/>
      <c r="B37" s="425"/>
      <c r="C37" s="561"/>
      <c r="D37" s="561"/>
      <c r="E37" s="493"/>
      <c r="F37" s="69"/>
      <c r="G37" s="69"/>
      <c r="H37" s="178">
        <f t="shared" si="0"/>
        <v>0</v>
      </c>
      <c r="I37" s="178">
        <f t="shared" si="1"/>
        <v>0</v>
      </c>
      <c r="J37" s="109"/>
    </row>
    <row r="38" spans="1:10" hidden="1">
      <c r="A38" s="1558"/>
      <c r="B38" s="425"/>
      <c r="C38" s="561"/>
      <c r="D38" s="561"/>
      <c r="E38" s="493"/>
      <c r="F38" s="69"/>
      <c r="G38" s="69"/>
      <c r="H38" s="178">
        <f t="shared" si="0"/>
        <v>0</v>
      </c>
      <c r="I38" s="178">
        <f t="shared" si="1"/>
        <v>0</v>
      </c>
      <c r="J38" s="109"/>
    </row>
    <row r="39" spans="1:10" hidden="1">
      <c r="A39" s="1558"/>
      <c r="B39" s="425"/>
      <c r="C39" s="561"/>
      <c r="D39" s="561"/>
      <c r="E39" s="493"/>
      <c r="F39" s="69"/>
      <c r="G39" s="69"/>
      <c r="H39" s="178">
        <f t="shared" si="0"/>
        <v>0</v>
      </c>
      <c r="I39" s="178">
        <f t="shared" si="1"/>
        <v>0</v>
      </c>
      <c r="J39" s="109"/>
    </row>
    <row r="40" spans="1:10" hidden="1">
      <c r="A40" s="1558"/>
      <c r="B40" s="425"/>
      <c r="C40" s="561"/>
      <c r="D40" s="561"/>
      <c r="E40" s="493"/>
      <c r="F40" s="69"/>
      <c r="G40" s="69"/>
      <c r="H40" s="178">
        <f t="shared" si="0"/>
        <v>0</v>
      </c>
      <c r="I40" s="178">
        <f t="shared" si="1"/>
        <v>0</v>
      </c>
      <c r="J40" s="109"/>
    </row>
    <row r="41" spans="1:10" hidden="1">
      <c r="A41" s="1558"/>
      <c r="B41" s="425"/>
      <c r="C41" s="561"/>
      <c r="D41" s="561"/>
      <c r="E41" s="561"/>
      <c r="F41" s="69"/>
      <c r="G41" s="69"/>
      <c r="H41" s="178">
        <f t="shared" si="0"/>
        <v>0</v>
      </c>
      <c r="I41" s="178">
        <f t="shared" si="1"/>
        <v>0</v>
      </c>
      <c r="J41" s="109"/>
    </row>
    <row r="42" spans="1:10" hidden="1">
      <c r="A42" s="1558"/>
      <c r="B42" s="425"/>
      <c r="C42" s="561"/>
      <c r="D42" s="561"/>
      <c r="E42" s="561"/>
      <c r="F42" s="69"/>
      <c r="G42" s="69"/>
      <c r="H42" s="178">
        <f t="shared" si="0"/>
        <v>0</v>
      </c>
      <c r="I42" s="178">
        <f t="shared" si="1"/>
        <v>0</v>
      </c>
      <c r="J42" s="109"/>
    </row>
    <row r="43" spans="1:10" hidden="1">
      <c r="A43" s="1558"/>
      <c r="B43" s="425"/>
      <c r="C43" s="561"/>
      <c r="D43" s="561"/>
      <c r="E43" s="561"/>
      <c r="F43" s="69"/>
      <c r="G43" s="69"/>
      <c r="H43" s="178">
        <f t="shared" si="0"/>
        <v>0</v>
      </c>
      <c r="I43" s="178">
        <f t="shared" si="1"/>
        <v>0</v>
      </c>
      <c r="J43" s="109"/>
    </row>
    <row r="44" spans="1:10" hidden="1">
      <c r="A44" s="1558"/>
      <c r="B44" s="425"/>
      <c r="C44" s="561"/>
      <c r="D44" s="561"/>
      <c r="E44" s="561"/>
      <c r="F44" s="69"/>
      <c r="G44" s="69"/>
      <c r="H44" s="178">
        <f t="shared" si="0"/>
        <v>0</v>
      </c>
      <c r="I44" s="178">
        <f t="shared" si="1"/>
        <v>0</v>
      </c>
      <c r="J44" s="109"/>
    </row>
    <row r="45" spans="1:10" hidden="1">
      <c r="A45" s="1558"/>
      <c r="B45" s="425"/>
      <c r="C45" s="561"/>
      <c r="D45" s="561"/>
      <c r="E45" s="493"/>
      <c r="F45" s="69"/>
      <c r="G45" s="69"/>
      <c r="H45" s="178">
        <f t="shared" si="0"/>
        <v>0</v>
      </c>
      <c r="I45" s="178">
        <f t="shared" si="1"/>
        <v>0</v>
      </c>
      <c r="J45" s="109"/>
    </row>
    <row r="46" spans="1:10" hidden="1">
      <c r="A46" s="1558"/>
      <c r="B46" s="425"/>
      <c r="C46" s="493"/>
      <c r="D46" s="493"/>
      <c r="E46" s="493"/>
      <c r="F46" s="69"/>
      <c r="G46" s="69"/>
      <c r="H46" s="178">
        <f t="shared" si="0"/>
        <v>0</v>
      </c>
      <c r="I46" s="178">
        <f t="shared" si="1"/>
        <v>0</v>
      </c>
      <c r="J46" s="109"/>
    </row>
    <row r="47" spans="1:10" hidden="1">
      <c r="A47" s="1558"/>
      <c r="B47" s="425"/>
      <c r="C47" s="561"/>
      <c r="D47" s="561"/>
      <c r="E47" s="493"/>
      <c r="F47" s="69"/>
      <c r="G47" s="69"/>
      <c r="H47" s="178">
        <f t="shared" si="0"/>
        <v>0</v>
      </c>
      <c r="I47" s="178">
        <f t="shared" si="1"/>
        <v>0</v>
      </c>
      <c r="J47" s="109"/>
    </row>
    <row r="48" spans="1:10" hidden="1">
      <c r="A48" s="1558"/>
      <c r="B48" s="425"/>
      <c r="C48" s="561"/>
      <c r="D48" s="561"/>
      <c r="E48" s="493"/>
      <c r="F48" s="69"/>
      <c r="G48" s="69"/>
      <c r="H48" s="178">
        <f t="shared" si="0"/>
        <v>0</v>
      </c>
      <c r="I48" s="178">
        <f t="shared" si="1"/>
        <v>0</v>
      </c>
      <c r="J48" s="109"/>
    </row>
    <row r="49" spans="1:10" hidden="1">
      <c r="A49" s="1558"/>
      <c r="B49" s="425"/>
      <c r="C49" s="561"/>
      <c r="D49" s="561"/>
      <c r="E49" s="493"/>
      <c r="F49" s="69"/>
      <c r="G49" s="69"/>
      <c r="H49" s="178">
        <f t="shared" si="0"/>
        <v>0</v>
      </c>
      <c r="I49" s="178">
        <f t="shared" si="1"/>
        <v>0</v>
      </c>
      <c r="J49" s="109"/>
    </row>
    <row r="50" spans="1:10" hidden="1">
      <c r="A50" s="1558"/>
      <c r="B50" s="425"/>
      <c r="C50" s="561"/>
      <c r="D50" s="561"/>
      <c r="E50" s="493"/>
      <c r="F50" s="69"/>
      <c r="G50" s="69"/>
      <c r="H50" s="178">
        <f t="shared" si="0"/>
        <v>0</v>
      </c>
      <c r="I50" s="178">
        <f t="shared" si="1"/>
        <v>0</v>
      </c>
      <c r="J50" s="109"/>
    </row>
    <row r="51" spans="1:10" hidden="1">
      <c r="A51" s="1558"/>
      <c r="B51" s="425"/>
      <c r="C51" s="493"/>
      <c r="D51" s="493"/>
      <c r="E51" s="493"/>
      <c r="F51" s="69"/>
      <c r="G51" s="69"/>
      <c r="H51" s="178">
        <f t="shared" si="0"/>
        <v>0</v>
      </c>
      <c r="I51" s="178">
        <f t="shared" si="1"/>
        <v>0</v>
      </c>
      <c r="J51" s="109"/>
    </row>
    <row r="52" spans="1:10" hidden="1">
      <c r="A52" s="1558"/>
      <c r="B52" s="425"/>
      <c r="C52" s="493"/>
      <c r="D52" s="493"/>
      <c r="E52" s="493"/>
      <c r="F52" s="69"/>
      <c r="G52" s="69"/>
      <c r="H52" s="178">
        <f t="shared" si="0"/>
        <v>0</v>
      </c>
      <c r="I52" s="178">
        <f t="shared" si="1"/>
        <v>0</v>
      </c>
      <c r="J52" s="109"/>
    </row>
    <row r="53" spans="1:10" hidden="1">
      <c r="A53" s="1558"/>
      <c r="B53" s="425"/>
      <c r="C53" s="493"/>
      <c r="D53" s="493"/>
      <c r="E53" s="493"/>
      <c r="F53" s="69"/>
      <c r="G53" s="69"/>
      <c r="H53" s="178">
        <f t="shared" si="0"/>
        <v>0</v>
      </c>
      <c r="I53" s="178">
        <f t="shared" si="1"/>
        <v>0</v>
      </c>
      <c r="J53" s="109"/>
    </row>
    <row r="54" spans="1:10" hidden="1">
      <c r="A54" s="1558"/>
      <c r="B54" s="425"/>
      <c r="C54" s="493"/>
      <c r="D54" s="493"/>
      <c r="E54" s="493"/>
      <c r="F54" s="69"/>
      <c r="G54" s="69"/>
      <c r="H54" s="178">
        <f t="shared" si="0"/>
        <v>0</v>
      </c>
      <c r="I54" s="178">
        <f t="shared" si="1"/>
        <v>0</v>
      </c>
      <c r="J54" s="109"/>
    </row>
    <row r="55" spans="1:10" hidden="1">
      <c r="A55" s="1558"/>
      <c r="B55" s="425"/>
      <c r="C55" s="493"/>
      <c r="D55" s="493"/>
      <c r="E55" s="493"/>
      <c r="F55" s="69"/>
      <c r="G55" s="69"/>
      <c r="H55" s="178">
        <f t="shared" si="0"/>
        <v>0</v>
      </c>
      <c r="I55" s="178">
        <f t="shared" si="1"/>
        <v>0</v>
      </c>
      <c r="J55" s="109"/>
    </row>
    <row r="56" spans="1:10" hidden="1">
      <c r="A56" s="1558"/>
      <c r="B56" s="425"/>
      <c r="C56" s="561"/>
      <c r="D56" s="561"/>
      <c r="E56" s="561"/>
      <c r="F56" s="69"/>
      <c r="G56" s="69"/>
      <c r="H56" s="178">
        <f t="shared" si="0"/>
        <v>0</v>
      </c>
      <c r="I56" s="178">
        <f t="shared" si="1"/>
        <v>0</v>
      </c>
      <c r="J56" s="109"/>
    </row>
    <row r="57" spans="1:10" hidden="1">
      <c r="A57" s="1558"/>
      <c r="B57" s="425"/>
      <c r="C57" s="561"/>
      <c r="D57" s="561"/>
      <c r="E57" s="493"/>
      <c r="F57" s="69"/>
      <c r="G57" s="69"/>
      <c r="H57" s="178">
        <f t="shared" si="0"/>
        <v>0</v>
      </c>
      <c r="I57" s="178">
        <f t="shared" si="1"/>
        <v>0</v>
      </c>
      <c r="J57" s="109"/>
    </row>
    <row r="58" spans="1:10" hidden="1">
      <c r="A58" s="1558"/>
      <c r="B58" s="425"/>
      <c r="C58" s="561"/>
      <c r="D58" s="561"/>
      <c r="E58" s="577"/>
      <c r="F58" s="69"/>
      <c r="G58" s="69"/>
      <c r="H58" s="178">
        <f t="shared" si="0"/>
        <v>0</v>
      </c>
      <c r="I58" s="178">
        <f t="shared" si="1"/>
        <v>0</v>
      </c>
      <c r="J58" s="109"/>
    </row>
    <row r="59" spans="1:10" hidden="1">
      <c r="A59" s="1558"/>
      <c r="B59" s="425"/>
      <c r="C59" s="561"/>
      <c r="D59" s="561"/>
      <c r="E59" s="577"/>
      <c r="F59" s="69"/>
      <c r="G59" s="69"/>
      <c r="H59" s="178">
        <f t="shared" si="0"/>
        <v>0</v>
      </c>
      <c r="I59" s="178">
        <f t="shared" si="1"/>
        <v>0</v>
      </c>
      <c r="J59" s="109"/>
    </row>
    <row r="60" spans="1:10" hidden="1">
      <c r="A60" s="1558"/>
      <c r="B60" s="427"/>
      <c r="C60" s="575"/>
      <c r="D60" s="575"/>
      <c r="E60" s="576"/>
      <c r="F60" s="69"/>
      <c r="G60" s="69"/>
      <c r="H60" s="178">
        <f t="shared" si="0"/>
        <v>0</v>
      </c>
      <c r="I60" s="178">
        <f t="shared" si="1"/>
        <v>0</v>
      </c>
      <c r="J60" s="109"/>
    </row>
    <row r="61" spans="1:10" hidden="1">
      <c r="A61" s="1558"/>
      <c r="B61" s="427"/>
      <c r="C61" s="575"/>
      <c r="D61" s="575"/>
      <c r="E61" s="576"/>
      <c r="F61" s="69"/>
      <c r="G61" s="69"/>
      <c r="H61" s="178">
        <f t="shared" si="0"/>
        <v>0</v>
      </c>
      <c r="I61" s="178">
        <f t="shared" si="1"/>
        <v>0</v>
      </c>
      <c r="J61" s="109"/>
    </row>
    <row r="62" spans="1:10" hidden="1">
      <c r="A62" s="1558"/>
      <c r="B62" s="427"/>
      <c r="C62" s="575"/>
      <c r="D62" s="575"/>
      <c r="E62" s="576"/>
      <c r="F62" s="69"/>
      <c r="G62" s="69"/>
      <c r="H62" s="178">
        <f t="shared" si="0"/>
        <v>0</v>
      </c>
      <c r="I62" s="178">
        <f t="shared" si="1"/>
        <v>0</v>
      </c>
      <c r="J62" s="109"/>
    </row>
    <row r="63" spans="1:10" hidden="1">
      <c r="A63" s="1558"/>
      <c r="B63" s="427"/>
      <c r="C63" s="575"/>
      <c r="D63" s="575"/>
      <c r="E63" s="576"/>
      <c r="F63" s="69"/>
      <c r="G63" s="69"/>
      <c r="H63" s="178">
        <f t="shared" si="0"/>
        <v>0</v>
      </c>
      <c r="I63" s="178">
        <f t="shared" si="1"/>
        <v>0</v>
      </c>
      <c r="J63" s="109"/>
    </row>
    <row r="64" spans="1:10" hidden="1">
      <c r="A64" s="1558"/>
      <c r="B64" s="427"/>
      <c r="C64" s="575"/>
      <c r="D64" s="575"/>
      <c r="E64" s="576"/>
      <c r="F64" s="69"/>
      <c r="G64" s="69"/>
      <c r="H64" s="178">
        <f t="shared" si="0"/>
        <v>0</v>
      </c>
      <c r="I64" s="178">
        <f t="shared" si="1"/>
        <v>0</v>
      </c>
      <c r="J64" s="109"/>
    </row>
    <row r="65" spans="1:10" hidden="1">
      <c r="A65" s="1558"/>
      <c r="B65" s="427"/>
      <c r="C65" s="575"/>
      <c r="D65" s="575"/>
      <c r="E65" s="576"/>
      <c r="F65" s="69"/>
      <c r="G65" s="69"/>
      <c r="H65" s="178">
        <f t="shared" si="0"/>
        <v>0</v>
      </c>
      <c r="I65" s="178">
        <f t="shared" si="1"/>
        <v>0</v>
      </c>
      <c r="J65" s="109"/>
    </row>
    <row r="66" spans="1:10" hidden="1">
      <c r="A66" s="1558"/>
      <c r="B66" s="427"/>
      <c r="C66" s="575"/>
      <c r="D66" s="575"/>
      <c r="E66" s="576"/>
      <c r="F66" s="69"/>
      <c r="G66" s="69"/>
      <c r="H66" s="178">
        <f t="shared" si="0"/>
        <v>0</v>
      </c>
      <c r="I66" s="178">
        <f t="shared" si="1"/>
        <v>0</v>
      </c>
      <c r="J66" s="109"/>
    </row>
    <row r="67" spans="1:10" hidden="1">
      <c r="A67" s="1558"/>
      <c r="B67" s="427"/>
      <c r="C67" s="575"/>
      <c r="D67" s="575"/>
      <c r="E67" s="576"/>
      <c r="F67" s="69"/>
      <c r="G67" s="69"/>
      <c r="H67" s="178">
        <f t="shared" si="0"/>
        <v>0</v>
      </c>
      <c r="I67" s="178">
        <f t="shared" si="1"/>
        <v>0</v>
      </c>
      <c r="J67" s="109"/>
    </row>
    <row r="68" spans="1:10" hidden="1">
      <c r="A68" s="1558"/>
      <c r="B68" s="427"/>
      <c r="C68" s="575"/>
      <c r="D68" s="575"/>
      <c r="E68" s="576"/>
      <c r="F68" s="69"/>
      <c r="G68" s="69"/>
      <c r="H68" s="178">
        <f t="shared" si="0"/>
        <v>0</v>
      </c>
      <c r="I68" s="178">
        <f t="shared" si="1"/>
        <v>0</v>
      </c>
      <c r="J68" s="109"/>
    </row>
    <row r="69" spans="1:10" hidden="1">
      <c r="A69" s="1558"/>
      <c r="B69" s="427"/>
      <c r="C69" s="578"/>
      <c r="D69" s="578"/>
      <c r="E69" s="579"/>
      <c r="F69" s="69"/>
      <c r="G69" s="69"/>
      <c r="H69" s="178">
        <f t="shared" si="0"/>
        <v>0</v>
      </c>
      <c r="I69" s="178">
        <f t="shared" si="1"/>
        <v>0</v>
      </c>
      <c r="J69" s="109"/>
    </row>
    <row r="70" spans="1:10" hidden="1">
      <c r="A70" s="1558"/>
      <c r="B70" s="427"/>
      <c r="C70" s="578"/>
      <c r="D70" s="578"/>
      <c r="E70" s="579"/>
      <c r="F70" s="69"/>
      <c r="G70" s="69"/>
      <c r="H70" s="178">
        <f t="shared" si="0"/>
        <v>0</v>
      </c>
      <c r="I70" s="178">
        <f t="shared" si="1"/>
        <v>0</v>
      </c>
      <c r="J70" s="109"/>
    </row>
    <row r="71" spans="1:10" hidden="1">
      <c r="A71" s="1558"/>
      <c r="B71" s="427"/>
      <c r="C71" s="578"/>
      <c r="D71" s="578"/>
      <c r="E71" s="579"/>
      <c r="F71" s="69"/>
      <c r="G71" s="69"/>
      <c r="H71" s="178">
        <f t="shared" si="0"/>
        <v>0</v>
      </c>
      <c r="I71" s="178">
        <f t="shared" si="1"/>
        <v>0</v>
      </c>
      <c r="J71" s="109"/>
    </row>
    <row r="72" spans="1:10" hidden="1">
      <c r="A72" s="1558"/>
      <c r="B72" s="425"/>
      <c r="C72" s="578"/>
      <c r="D72" s="578"/>
      <c r="E72" s="580"/>
      <c r="F72" s="69"/>
      <c r="G72" s="69"/>
      <c r="H72" s="178">
        <f t="shared" si="0"/>
        <v>0</v>
      </c>
      <c r="I72" s="178">
        <f t="shared" si="1"/>
        <v>0</v>
      </c>
      <c r="J72" s="109"/>
    </row>
    <row r="73" spans="1:10" hidden="1">
      <c r="A73" s="1558"/>
      <c r="B73" s="425"/>
      <c r="C73" s="578"/>
      <c r="D73" s="578"/>
      <c r="E73" s="580"/>
      <c r="F73" s="69"/>
      <c r="G73" s="69"/>
      <c r="H73" s="178">
        <f t="shared" ref="H73:H136" si="2">E73+D73-C73</f>
        <v>0</v>
      </c>
      <c r="I73" s="178">
        <f t="shared" ref="I73:I136" si="3">SUM(C73:E73)</f>
        <v>0</v>
      </c>
      <c r="J73" s="109"/>
    </row>
    <row r="74" spans="1:10" hidden="1">
      <c r="A74" s="1558"/>
      <c r="B74" s="425"/>
      <c r="C74" s="578"/>
      <c r="D74" s="578"/>
      <c r="E74" s="580"/>
      <c r="F74" s="69"/>
      <c r="G74" s="69"/>
      <c r="H74" s="178">
        <f t="shared" si="2"/>
        <v>0</v>
      </c>
      <c r="I74" s="178">
        <f t="shared" si="3"/>
        <v>0</v>
      </c>
      <c r="J74" s="109"/>
    </row>
    <row r="75" spans="1:10" hidden="1">
      <c r="A75" s="1558"/>
      <c r="B75" s="427"/>
      <c r="C75" s="578"/>
      <c r="D75" s="578"/>
      <c r="E75" s="579"/>
      <c r="F75" s="69"/>
      <c r="G75" s="69"/>
      <c r="H75" s="178">
        <f t="shared" si="2"/>
        <v>0</v>
      </c>
      <c r="I75" s="178">
        <f t="shared" si="3"/>
        <v>0</v>
      </c>
      <c r="J75" s="109"/>
    </row>
    <row r="76" spans="1:10" hidden="1">
      <c r="A76" s="1558"/>
      <c r="B76" s="427"/>
      <c r="C76" s="578"/>
      <c r="D76" s="578"/>
      <c r="E76" s="579"/>
      <c r="F76" s="69"/>
      <c r="G76" s="69"/>
      <c r="H76" s="178">
        <f t="shared" si="2"/>
        <v>0</v>
      </c>
      <c r="I76" s="178">
        <f t="shared" si="3"/>
        <v>0</v>
      </c>
      <c r="J76" s="109"/>
    </row>
    <row r="77" spans="1:10" hidden="1">
      <c r="A77" s="1558"/>
      <c r="B77" s="427"/>
      <c r="C77" s="578"/>
      <c r="D77" s="578"/>
      <c r="E77" s="579"/>
      <c r="F77" s="69"/>
      <c r="G77" s="69"/>
      <c r="H77" s="178">
        <f t="shared" si="2"/>
        <v>0</v>
      </c>
      <c r="I77" s="178">
        <f t="shared" si="3"/>
        <v>0</v>
      </c>
      <c r="J77" s="109"/>
    </row>
    <row r="78" spans="1:10" hidden="1">
      <c r="A78" s="1558"/>
      <c r="B78" s="427"/>
      <c r="C78" s="578"/>
      <c r="D78" s="578"/>
      <c r="E78" s="579"/>
      <c r="F78" s="69"/>
      <c r="G78" s="69"/>
      <c r="H78" s="178">
        <f t="shared" si="2"/>
        <v>0</v>
      </c>
      <c r="I78" s="178">
        <f t="shared" si="3"/>
        <v>0</v>
      </c>
      <c r="J78" s="109"/>
    </row>
    <row r="79" spans="1:10" hidden="1">
      <c r="A79" s="1558"/>
      <c r="B79" s="427"/>
      <c r="C79" s="578"/>
      <c r="D79" s="578"/>
      <c r="E79" s="579"/>
      <c r="F79" s="69"/>
      <c r="G79" s="69"/>
      <c r="H79" s="178">
        <f t="shared" si="2"/>
        <v>0</v>
      </c>
      <c r="I79" s="178">
        <f t="shared" si="3"/>
        <v>0</v>
      </c>
      <c r="J79" s="109"/>
    </row>
    <row r="80" spans="1:10" hidden="1">
      <c r="A80" s="1558"/>
      <c r="B80" s="427"/>
      <c r="C80" s="578"/>
      <c r="D80" s="578"/>
      <c r="E80" s="579"/>
      <c r="F80" s="69"/>
      <c r="G80" s="69"/>
      <c r="H80" s="178">
        <f t="shared" si="2"/>
        <v>0</v>
      </c>
      <c r="I80" s="178">
        <f t="shared" si="3"/>
        <v>0</v>
      </c>
      <c r="J80" s="109"/>
    </row>
    <row r="81" spans="1:10" hidden="1">
      <c r="A81" s="1558"/>
      <c r="B81" s="427"/>
      <c r="C81" s="578"/>
      <c r="D81" s="578"/>
      <c r="E81" s="579"/>
      <c r="F81" s="69"/>
      <c r="G81" s="69"/>
      <c r="H81" s="178">
        <f t="shared" si="2"/>
        <v>0</v>
      </c>
      <c r="I81" s="178">
        <f t="shared" si="3"/>
        <v>0</v>
      </c>
      <c r="J81" s="109"/>
    </row>
    <row r="82" spans="1:10" hidden="1">
      <c r="A82" s="1558"/>
      <c r="B82" s="427"/>
      <c r="C82" s="578"/>
      <c r="D82" s="578"/>
      <c r="E82" s="579"/>
      <c r="F82" s="69"/>
      <c r="G82" s="69"/>
      <c r="H82" s="178">
        <f t="shared" si="2"/>
        <v>0</v>
      </c>
      <c r="I82" s="178">
        <f t="shared" si="3"/>
        <v>0</v>
      </c>
      <c r="J82" s="109"/>
    </row>
    <row r="83" spans="1:10" hidden="1">
      <c r="A83" s="1558"/>
      <c r="B83" s="427"/>
      <c r="C83" s="578"/>
      <c r="D83" s="578"/>
      <c r="E83" s="579"/>
      <c r="F83" s="69"/>
      <c r="G83" s="69"/>
      <c r="H83" s="178">
        <f t="shared" si="2"/>
        <v>0</v>
      </c>
      <c r="I83" s="178">
        <f t="shared" si="3"/>
        <v>0</v>
      </c>
      <c r="J83" s="109"/>
    </row>
    <row r="84" spans="1:10" hidden="1">
      <c r="A84" s="1558"/>
      <c r="B84" s="427"/>
      <c r="C84" s="578"/>
      <c r="D84" s="578"/>
      <c r="E84" s="579"/>
      <c r="F84" s="69"/>
      <c r="G84" s="69"/>
      <c r="H84" s="178">
        <f t="shared" si="2"/>
        <v>0</v>
      </c>
      <c r="I84" s="178">
        <f t="shared" si="3"/>
        <v>0</v>
      </c>
      <c r="J84" s="109"/>
    </row>
    <row r="85" spans="1:10" hidden="1">
      <c r="A85" s="1558"/>
      <c r="B85" s="427"/>
      <c r="C85" s="578"/>
      <c r="D85" s="578"/>
      <c r="E85" s="579"/>
      <c r="F85" s="69"/>
      <c r="G85" s="69"/>
      <c r="H85" s="178">
        <f t="shared" si="2"/>
        <v>0</v>
      </c>
      <c r="I85" s="178">
        <f t="shared" si="3"/>
        <v>0</v>
      </c>
      <c r="J85" s="109"/>
    </row>
    <row r="86" spans="1:10" hidden="1">
      <c r="A86" s="1558"/>
      <c r="B86" s="427"/>
      <c r="C86" s="578"/>
      <c r="D86" s="578"/>
      <c r="E86" s="579"/>
      <c r="F86" s="69"/>
      <c r="G86" s="69"/>
      <c r="H86" s="178">
        <f t="shared" si="2"/>
        <v>0</v>
      </c>
      <c r="I86" s="178">
        <f t="shared" si="3"/>
        <v>0</v>
      </c>
      <c r="J86" s="109"/>
    </row>
    <row r="87" spans="1:10" hidden="1">
      <c r="A87" s="1558"/>
      <c r="B87" s="425"/>
      <c r="C87" s="578"/>
      <c r="D87" s="578"/>
      <c r="E87" s="580"/>
      <c r="F87" s="69"/>
      <c r="G87" s="69"/>
      <c r="H87" s="178">
        <f t="shared" si="2"/>
        <v>0</v>
      </c>
      <c r="I87" s="178">
        <f t="shared" si="3"/>
        <v>0</v>
      </c>
      <c r="J87" s="109"/>
    </row>
    <row r="88" spans="1:10" hidden="1">
      <c r="A88" s="1558"/>
      <c r="B88" s="427"/>
      <c r="C88" s="575"/>
      <c r="D88" s="575"/>
      <c r="E88" s="576"/>
      <c r="F88" s="69"/>
      <c r="G88" s="69"/>
      <c r="H88" s="178">
        <f t="shared" si="2"/>
        <v>0</v>
      </c>
      <c r="I88" s="178">
        <f t="shared" si="3"/>
        <v>0</v>
      </c>
      <c r="J88" s="109"/>
    </row>
    <row r="89" spans="1:10" hidden="1">
      <c r="A89" s="1558"/>
      <c r="B89" s="427"/>
      <c r="C89" s="575"/>
      <c r="D89" s="575"/>
      <c r="E89" s="576"/>
      <c r="F89" s="69"/>
      <c r="G89" s="69"/>
      <c r="H89" s="178">
        <f t="shared" si="2"/>
        <v>0</v>
      </c>
      <c r="I89" s="178">
        <f t="shared" si="3"/>
        <v>0</v>
      </c>
      <c r="J89" s="109"/>
    </row>
    <row r="90" spans="1:10" hidden="1">
      <c r="A90" s="1558"/>
      <c r="B90" s="427"/>
      <c r="C90" s="575"/>
      <c r="D90" s="575"/>
      <c r="E90" s="576"/>
      <c r="F90" s="69"/>
      <c r="G90" s="69"/>
      <c r="H90" s="178">
        <f t="shared" si="2"/>
        <v>0</v>
      </c>
      <c r="I90" s="178">
        <f t="shared" si="3"/>
        <v>0</v>
      </c>
      <c r="J90" s="109"/>
    </row>
    <row r="91" spans="1:10" hidden="1">
      <c r="A91" s="1558"/>
      <c r="B91" s="427"/>
      <c r="C91" s="575"/>
      <c r="D91" s="575"/>
      <c r="E91" s="576"/>
      <c r="F91" s="69"/>
      <c r="G91" s="69"/>
      <c r="H91" s="178">
        <f t="shared" si="2"/>
        <v>0</v>
      </c>
      <c r="I91" s="178">
        <f t="shared" si="3"/>
        <v>0</v>
      </c>
      <c r="J91" s="109"/>
    </row>
    <row r="92" spans="1:10" hidden="1">
      <c r="A92" s="1558"/>
      <c r="B92" s="425"/>
      <c r="C92" s="561"/>
      <c r="D92" s="561"/>
      <c r="E92" s="577"/>
      <c r="F92" s="69"/>
      <c r="G92" s="69"/>
      <c r="H92" s="178">
        <f t="shared" si="2"/>
        <v>0</v>
      </c>
      <c r="I92" s="178">
        <f t="shared" si="3"/>
        <v>0</v>
      </c>
      <c r="J92" s="109"/>
    </row>
    <row r="93" spans="1:10" hidden="1">
      <c r="A93" s="1558"/>
      <c r="B93" s="425"/>
      <c r="C93" s="561"/>
      <c r="D93" s="561"/>
      <c r="E93" s="577"/>
      <c r="F93" s="69"/>
      <c r="G93" s="69"/>
      <c r="H93" s="178">
        <f t="shared" si="2"/>
        <v>0</v>
      </c>
      <c r="I93" s="178">
        <f t="shared" si="3"/>
        <v>0</v>
      </c>
      <c r="J93" s="109"/>
    </row>
    <row r="94" spans="1:10" hidden="1">
      <c r="A94" s="1558"/>
      <c r="B94" s="425"/>
      <c r="C94" s="561"/>
      <c r="D94" s="561"/>
      <c r="E94" s="577"/>
      <c r="F94" s="69"/>
      <c r="G94" s="69"/>
      <c r="H94" s="178">
        <f t="shared" si="2"/>
        <v>0</v>
      </c>
      <c r="I94" s="178">
        <f t="shared" si="3"/>
        <v>0</v>
      </c>
      <c r="J94" s="109"/>
    </row>
    <row r="95" spans="1:10" hidden="1">
      <c r="A95" s="1558"/>
      <c r="B95" s="425"/>
      <c r="C95" s="561"/>
      <c r="D95" s="561"/>
      <c r="E95" s="577"/>
      <c r="F95" s="69"/>
      <c r="G95" s="69"/>
      <c r="H95" s="178">
        <f t="shared" si="2"/>
        <v>0</v>
      </c>
      <c r="I95" s="178">
        <f t="shared" si="3"/>
        <v>0</v>
      </c>
      <c r="J95" s="109"/>
    </row>
    <row r="96" spans="1:10" s="67" customFormat="1" hidden="1">
      <c r="A96" s="1558"/>
      <c r="B96" s="209" t="s">
        <v>985</v>
      </c>
      <c r="C96" s="581">
        <f>SUM(C8:C95)</f>
        <v>0</v>
      </c>
      <c r="D96" s="581">
        <f>SUM(D8:D95)</f>
        <v>0</v>
      </c>
      <c r="E96" s="581">
        <f>SUM(E8:E95)</f>
        <v>0</v>
      </c>
      <c r="F96" s="179">
        <f>SUM(F9:F29)</f>
        <v>0</v>
      </c>
      <c r="G96" s="179">
        <f>SUM(G9:G29)</f>
        <v>0</v>
      </c>
      <c r="H96" s="178">
        <f t="shared" si="2"/>
        <v>0</v>
      </c>
      <c r="I96" s="178">
        <f t="shared" si="3"/>
        <v>0</v>
      </c>
      <c r="J96" s="109"/>
    </row>
    <row r="97" spans="1:10" s="411" customFormat="1" hidden="1">
      <c r="A97" s="1558" t="s">
        <v>285</v>
      </c>
      <c r="B97" s="541"/>
      <c r="C97" s="582"/>
      <c r="D97" s="583"/>
      <c r="E97" s="582"/>
      <c r="F97" s="410"/>
      <c r="G97" s="410"/>
      <c r="H97" s="178">
        <f t="shared" si="2"/>
        <v>0</v>
      </c>
      <c r="I97" s="178">
        <f t="shared" si="3"/>
        <v>0</v>
      </c>
      <c r="J97" s="109"/>
    </row>
    <row r="98" spans="1:10" hidden="1">
      <c r="A98" s="1558"/>
      <c r="B98" s="541"/>
      <c r="C98" s="583"/>
      <c r="D98" s="583"/>
      <c r="E98" s="582"/>
      <c r="F98" s="69"/>
      <c r="G98" s="69"/>
      <c r="H98" s="178">
        <f t="shared" si="2"/>
        <v>0</v>
      </c>
      <c r="I98" s="178">
        <f t="shared" si="3"/>
        <v>0</v>
      </c>
      <c r="J98" s="109"/>
    </row>
    <row r="99" spans="1:10" hidden="1">
      <c r="A99" s="1558"/>
      <c r="B99" s="425"/>
      <c r="C99" s="561"/>
      <c r="D99" s="561"/>
      <c r="E99" s="493"/>
      <c r="F99" s="69"/>
      <c r="G99" s="69"/>
      <c r="H99" s="178">
        <f t="shared" si="2"/>
        <v>0</v>
      </c>
      <c r="I99" s="178">
        <f t="shared" si="3"/>
        <v>0</v>
      </c>
      <c r="J99" s="109"/>
    </row>
    <row r="100" spans="1:10" hidden="1">
      <c r="A100" s="1558"/>
      <c r="B100" s="425"/>
      <c r="C100" s="561"/>
      <c r="D100" s="561"/>
      <c r="E100" s="493"/>
      <c r="F100" s="69"/>
      <c r="G100" s="69"/>
      <c r="H100" s="178">
        <f t="shared" si="2"/>
        <v>0</v>
      </c>
      <c r="I100" s="178">
        <f t="shared" si="3"/>
        <v>0</v>
      </c>
      <c r="J100" s="109"/>
    </row>
    <row r="101" spans="1:10" hidden="1">
      <c r="A101" s="1558"/>
      <c r="B101" s="425"/>
      <c r="C101" s="561"/>
      <c r="D101" s="561"/>
      <c r="E101" s="493"/>
      <c r="F101" s="69"/>
      <c r="G101" s="69"/>
      <c r="H101" s="178">
        <f t="shared" si="2"/>
        <v>0</v>
      </c>
      <c r="I101" s="178">
        <f t="shared" si="3"/>
        <v>0</v>
      </c>
      <c r="J101" s="109"/>
    </row>
    <row r="102" spans="1:10" hidden="1">
      <c r="A102" s="1558"/>
      <c r="B102" s="425"/>
      <c r="C102" s="561"/>
      <c r="D102" s="561"/>
      <c r="E102" s="493"/>
      <c r="F102" s="69"/>
      <c r="G102" s="69"/>
      <c r="H102" s="178">
        <f t="shared" si="2"/>
        <v>0</v>
      </c>
      <c r="I102" s="178">
        <f t="shared" si="3"/>
        <v>0</v>
      </c>
      <c r="J102" s="109"/>
    </row>
    <row r="103" spans="1:10" hidden="1">
      <c r="A103" s="1558"/>
      <c r="B103" s="425"/>
      <c r="C103" s="561"/>
      <c r="D103" s="561"/>
      <c r="E103" s="493"/>
      <c r="F103" s="69"/>
      <c r="G103" s="69"/>
      <c r="H103" s="178">
        <f t="shared" si="2"/>
        <v>0</v>
      </c>
      <c r="I103" s="178">
        <f t="shared" si="3"/>
        <v>0</v>
      </c>
      <c r="J103" s="109"/>
    </row>
    <row r="104" spans="1:10" hidden="1">
      <c r="A104" s="1558"/>
      <c r="B104" s="425"/>
      <c r="C104" s="561"/>
      <c r="D104" s="561"/>
      <c r="E104" s="493"/>
      <c r="F104" s="69"/>
      <c r="G104" s="69"/>
      <c r="H104" s="178">
        <f t="shared" si="2"/>
        <v>0</v>
      </c>
      <c r="I104" s="178">
        <f t="shared" si="3"/>
        <v>0</v>
      </c>
      <c r="J104" s="109"/>
    </row>
    <row r="105" spans="1:10" hidden="1">
      <c r="A105" s="1558"/>
      <c r="B105" s="425"/>
      <c r="C105" s="561"/>
      <c r="D105" s="561"/>
      <c r="E105" s="493"/>
      <c r="F105" s="69"/>
      <c r="G105" s="69"/>
      <c r="H105" s="178">
        <f t="shared" si="2"/>
        <v>0</v>
      </c>
      <c r="I105" s="178">
        <f t="shared" si="3"/>
        <v>0</v>
      </c>
      <c r="J105" s="109"/>
    </row>
    <row r="106" spans="1:10" hidden="1">
      <c r="A106" s="1558"/>
      <c r="B106" s="425"/>
      <c r="C106" s="561"/>
      <c r="D106" s="561"/>
      <c r="E106" s="493"/>
      <c r="F106" s="69"/>
      <c r="G106" s="69"/>
      <c r="H106" s="178">
        <f t="shared" si="2"/>
        <v>0</v>
      </c>
      <c r="I106" s="178">
        <f t="shared" si="3"/>
        <v>0</v>
      </c>
      <c r="J106" s="109"/>
    </row>
    <row r="107" spans="1:10" hidden="1">
      <c r="A107" s="1558"/>
      <c r="B107" s="425"/>
      <c r="C107" s="561"/>
      <c r="D107" s="561"/>
      <c r="E107" s="493"/>
      <c r="F107" s="69"/>
      <c r="G107" s="69"/>
      <c r="H107" s="178">
        <f t="shared" si="2"/>
        <v>0</v>
      </c>
      <c r="I107" s="178">
        <f t="shared" si="3"/>
        <v>0</v>
      </c>
      <c r="J107" s="109"/>
    </row>
    <row r="108" spans="1:10" hidden="1">
      <c r="A108" s="1558"/>
      <c r="B108" s="425"/>
      <c r="C108" s="561"/>
      <c r="D108" s="561"/>
      <c r="E108" s="493"/>
      <c r="F108" s="69"/>
      <c r="G108" s="69"/>
      <c r="H108" s="178">
        <f t="shared" si="2"/>
        <v>0</v>
      </c>
      <c r="I108" s="178">
        <f t="shared" si="3"/>
        <v>0</v>
      </c>
      <c r="J108" s="109"/>
    </row>
    <row r="109" spans="1:10" hidden="1">
      <c r="A109" s="1558"/>
      <c r="B109" s="425"/>
      <c r="C109" s="561"/>
      <c r="D109" s="561"/>
      <c r="E109" s="493"/>
      <c r="F109" s="69"/>
      <c r="G109" s="69"/>
      <c r="H109" s="178">
        <f t="shared" si="2"/>
        <v>0</v>
      </c>
      <c r="I109" s="178">
        <f t="shared" si="3"/>
        <v>0</v>
      </c>
      <c r="J109" s="109"/>
    </row>
    <row r="110" spans="1:10" hidden="1">
      <c r="A110" s="1558"/>
      <c r="B110" s="425"/>
      <c r="C110" s="561"/>
      <c r="D110" s="561"/>
      <c r="E110" s="577"/>
      <c r="F110" s="69"/>
      <c r="G110" s="69"/>
      <c r="H110" s="178">
        <f t="shared" si="2"/>
        <v>0</v>
      </c>
      <c r="I110" s="178">
        <f t="shared" si="3"/>
        <v>0</v>
      </c>
      <c r="J110" s="109"/>
    </row>
    <row r="111" spans="1:10" hidden="1">
      <c r="A111" s="1558"/>
      <c r="B111" s="425"/>
      <c r="C111" s="561"/>
      <c r="D111" s="561"/>
      <c r="E111" s="577"/>
      <c r="F111" s="69"/>
      <c r="G111" s="69"/>
      <c r="H111" s="178">
        <f t="shared" si="2"/>
        <v>0</v>
      </c>
      <c r="I111" s="178">
        <f t="shared" si="3"/>
        <v>0</v>
      </c>
      <c r="J111" s="109"/>
    </row>
    <row r="112" spans="1:10" hidden="1">
      <c r="A112" s="1558"/>
      <c r="B112" s="425"/>
      <c r="C112" s="561"/>
      <c r="D112" s="561"/>
      <c r="E112" s="577"/>
      <c r="F112" s="69"/>
      <c r="G112" s="69"/>
      <c r="H112" s="178">
        <f t="shared" si="2"/>
        <v>0</v>
      </c>
      <c r="I112" s="178">
        <f t="shared" si="3"/>
        <v>0</v>
      </c>
      <c r="J112" s="109"/>
    </row>
    <row r="113" spans="1:10" hidden="1">
      <c r="A113" s="1558"/>
      <c r="B113" s="425"/>
      <c r="C113" s="561"/>
      <c r="D113" s="561"/>
      <c r="E113" s="577"/>
      <c r="F113" s="69"/>
      <c r="G113" s="69"/>
      <c r="H113" s="178">
        <f t="shared" si="2"/>
        <v>0</v>
      </c>
      <c r="I113" s="178">
        <f t="shared" si="3"/>
        <v>0</v>
      </c>
      <c r="J113" s="109"/>
    </row>
    <row r="114" spans="1:10" hidden="1">
      <c r="A114" s="1558"/>
      <c r="B114" s="425"/>
      <c r="C114" s="561"/>
      <c r="D114" s="561"/>
      <c r="E114" s="577"/>
      <c r="F114" s="69"/>
      <c r="G114" s="69"/>
      <c r="H114" s="178">
        <f t="shared" si="2"/>
        <v>0</v>
      </c>
      <c r="I114" s="178">
        <f t="shared" si="3"/>
        <v>0</v>
      </c>
      <c r="J114" s="109"/>
    </row>
    <row r="115" spans="1:10" hidden="1">
      <c r="A115" s="1558"/>
      <c r="B115" s="425"/>
      <c r="C115" s="561"/>
      <c r="D115" s="561"/>
      <c r="E115" s="577"/>
      <c r="F115" s="69"/>
      <c r="G115" s="69"/>
      <c r="H115" s="178">
        <f t="shared" si="2"/>
        <v>0</v>
      </c>
      <c r="I115" s="178">
        <f t="shared" si="3"/>
        <v>0</v>
      </c>
      <c r="J115" s="109"/>
    </row>
    <row r="116" spans="1:10" hidden="1">
      <c r="A116" s="1558"/>
      <c r="B116" s="425"/>
      <c r="C116" s="561"/>
      <c r="D116" s="561"/>
      <c r="E116" s="577"/>
      <c r="F116" s="69"/>
      <c r="G116" s="69"/>
      <c r="H116" s="178">
        <f t="shared" si="2"/>
        <v>0</v>
      </c>
      <c r="I116" s="178">
        <f t="shared" si="3"/>
        <v>0</v>
      </c>
      <c r="J116" s="109"/>
    </row>
    <row r="117" spans="1:10" hidden="1">
      <c r="A117" s="1558"/>
      <c r="B117" s="425"/>
      <c r="C117" s="561"/>
      <c r="D117" s="561"/>
      <c r="E117" s="577"/>
      <c r="F117" s="69"/>
      <c r="G117" s="69"/>
      <c r="H117" s="178">
        <f t="shared" si="2"/>
        <v>0</v>
      </c>
      <c r="I117" s="178">
        <f t="shared" si="3"/>
        <v>0</v>
      </c>
      <c r="J117" s="109"/>
    </row>
    <row r="118" spans="1:10" hidden="1">
      <c r="A118" s="1558"/>
      <c r="B118" s="425"/>
      <c r="C118" s="561"/>
      <c r="D118" s="561"/>
      <c r="E118" s="577"/>
      <c r="F118" s="69"/>
      <c r="G118" s="69"/>
      <c r="H118" s="178">
        <f t="shared" si="2"/>
        <v>0</v>
      </c>
      <c r="I118" s="178">
        <f t="shared" si="3"/>
        <v>0</v>
      </c>
      <c r="J118" s="109"/>
    </row>
    <row r="119" spans="1:10" hidden="1">
      <c r="A119" s="1558"/>
      <c r="B119" s="425"/>
      <c r="C119" s="561"/>
      <c r="D119" s="561"/>
      <c r="E119" s="577"/>
      <c r="F119" s="69"/>
      <c r="G119" s="69"/>
      <c r="H119" s="178">
        <f t="shared" si="2"/>
        <v>0</v>
      </c>
      <c r="I119" s="178">
        <f t="shared" si="3"/>
        <v>0</v>
      </c>
      <c r="J119" s="109"/>
    </row>
    <row r="120" spans="1:10" hidden="1">
      <c r="A120" s="1558"/>
      <c r="B120" s="425"/>
      <c r="C120" s="561"/>
      <c r="D120" s="561"/>
      <c r="E120" s="577"/>
      <c r="F120" s="69"/>
      <c r="G120" s="69"/>
      <c r="H120" s="178">
        <f t="shared" si="2"/>
        <v>0</v>
      </c>
      <c r="I120" s="178">
        <f t="shared" si="3"/>
        <v>0</v>
      </c>
      <c r="J120" s="109"/>
    </row>
    <row r="121" spans="1:10" hidden="1">
      <c r="A121" s="1558"/>
      <c r="B121" s="425"/>
      <c r="C121" s="561"/>
      <c r="D121" s="561"/>
      <c r="E121" s="577"/>
      <c r="F121" s="69"/>
      <c r="G121" s="69"/>
      <c r="H121" s="178">
        <f t="shared" si="2"/>
        <v>0</v>
      </c>
      <c r="I121" s="178">
        <f t="shared" si="3"/>
        <v>0</v>
      </c>
      <c r="J121" s="109"/>
    </row>
    <row r="122" spans="1:10" hidden="1">
      <c r="A122" s="1558"/>
      <c r="B122" s="425"/>
      <c r="C122" s="561"/>
      <c r="D122" s="561"/>
      <c r="E122" s="577"/>
      <c r="F122" s="69"/>
      <c r="G122" s="69"/>
      <c r="H122" s="178">
        <f t="shared" si="2"/>
        <v>0</v>
      </c>
      <c r="I122" s="178">
        <f t="shared" si="3"/>
        <v>0</v>
      </c>
      <c r="J122" s="109"/>
    </row>
    <row r="123" spans="1:10" hidden="1">
      <c r="A123" s="1558"/>
      <c r="B123" s="425"/>
      <c r="C123" s="561"/>
      <c r="D123" s="561"/>
      <c r="E123" s="577"/>
      <c r="F123" s="69"/>
      <c r="G123" s="69"/>
      <c r="H123" s="178">
        <f t="shared" si="2"/>
        <v>0</v>
      </c>
      <c r="I123" s="178">
        <f t="shared" si="3"/>
        <v>0</v>
      </c>
      <c r="J123" s="109"/>
    </row>
    <row r="124" spans="1:10" hidden="1">
      <c r="A124" s="1558"/>
      <c r="B124" s="425"/>
      <c r="C124" s="561"/>
      <c r="D124" s="561"/>
      <c r="E124" s="577"/>
      <c r="F124" s="69"/>
      <c r="G124" s="69"/>
      <c r="H124" s="178">
        <f t="shared" si="2"/>
        <v>0</v>
      </c>
      <c r="I124" s="178">
        <f t="shared" si="3"/>
        <v>0</v>
      </c>
      <c r="J124" s="109"/>
    </row>
    <row r="125" spans="1:10" s="67" customFormat="1" hidden="1">
      <c r="A125" s="1558"/>
      <c r="B125" s="430" t="s">
        <v>985</v>
      </c>
      <c r="C125" s="559">
        <f>SUM(C97:C124)</f>
        <v>0</v>
      </c>
      <c r="D125" s="559">
        <f>SUM(D97:D124)</f>
        <v>0</v>
      </c>
      <c r="E125" s="559">
        <f>SUM(E97:E124)</f>
        <v>0</v>
      </c>
      <c r="F125" s="117"/>
      <c r="G125" s="117"/>
      <c r="H125" s="178">
        <f t="shared" si="2"/>
        <v>0</v>
      </c>
      <c r="I125" s="178">
        <f t="shared" si="3"/>
        <v>0</v>
      </c>
      <c r="J125" s="109"/>
    </row>
    <row r="126" spans="1:10" hidden="1">
      <c r="A126" s="1558" t="s">
        <v>286</v>
      </c>
      <c r="B126" s="541"/>
      <c r="C126" s="583"/>
      <c r="D126" s="583"/>
      <c r="E126" s="582"/>
      <c r="F126" s="69"/>
      <c r="G126" s="69"/>
      <c r="H126" s="178">
        <f t="shared" si="2"/>
        <v>0</v>
      </c>
      <c r="I126" s="178">
        <f t="shared" si="3"/>
        <v>0</v>
      </c>
      <c r="J126" s="109"/>
    </row>
    <row r="127" spans="1:10" hidden="1">
      <c r="A127" s="1558"/>
      <c r="B127" s="431"/>
      <c r="C127" s="584"/>
      <c r="D127" s="584"/>
      <c r="E127" s="584"/>
      <c r="F127" s="69"/>
      <c r="G127" s="69"/>
      <c r="H127" s="178">
        <f t="shared" si="2"/>
        <v>0</v>
      </c>
      <c r="I127" s="178">
        <f t="shared" si="3"/>
        <v>0</v>
      </c>
      <c r="J127" s="109"/>
    </row>
    <row r="128" spans="1:10" hidden="1">
      <c r="A128" s="1558"/>
      <c r="B128" s="424"/>
      <c r="C128" s="561"/>
      <c r="D128" s="561"/>
      <c r="E128" s="493"/>
      <c r="F128" s="69"/>
      <c r="G128" s="69"/>
      <c r="H128" s="178">
        <f t="shared" si="2"/>
        <v>0</v>
      </c>
      <c r="I128" s="178">
        <f t="shared" si="3"/>
        <v>0</v>
      </c>
      <c r="J128" s="109"/>
    </row>
    <row r="129" spans="1:10" hidden="1">
      <c r="A129" s="1558"/>
      <c r="B129" s="425"/>
      <c r="C129" s="561"/>
      <c r="D129" s="561"/>
      <c r="E129" s="493"/>
      <c r="F129" s="69"/>
      <c r="G129" s="69"/>
      <c r="H129" s="178">
        <f t="shared" si="2"/>
        <v>0</v>
      </c>
      <c r="I129" s="178">
        <f t="shared" si="3"/>
        <v>0</v>
      </c>
      <c r="J129" s="109"/>
    </row>
    <row r="130" spans="1:10" hidden="1">
      <c r="A130" s="1558"/>
      <c r="B130" s="425"/>
      <c r="C130" s="561"/>
      <c r="D130" s="561"/>
      <c r="E130" s="493"/>
      <c r="F130" s="69"/>
      <c r="G130" s="69"/>
      <c r="H130" s="178">
        <f t="shared" si="2"/>
        <v>0</v>
      </c>
      <c r="I130" s="178">
        <f t="shared" si="3"/>
        <v>0</v>
      </c>
      <c r="J130" s="109"/>
    </row>
    <row r="131" spans="1:10" hidden="1">
      <c r="A131" s="1558"/>
      <c r="B131" s="425"/>
      <c r="C131" s="561"/>
      <c r="D131" s="561"/>
      <c r="E131" s="493"/>
      <c r="F131" s="69"/>
      <c r="G131" s="69"/>
      <c r="H131" s="178">
        <f t="shared" si="2"/>
        <v>0</v>
      </c>
      <c r="I131" s="178">
        <f t="shared" si="3"/>
        <v>0</v>
      </c>
      <c r="J131" s="109"/>
    </row>
    <row r="132" spans="1:10" hidden="1">
      <c r="A132" s="1558"/>
      <c r="B132" s="425"/>
      <c r="C132" s="561"/>
      <c r="D132" s="561"/>
      <c r="E132" s="493"/>
      <c r="F132" s="69"/>
      <c r="G132" s="69"/>
      <c r="H132" s="178">
        <f t="shared" si="2"/>
        <v>0</v>
      </c>
      <c r="I132" s="178">
        <f t="shared" si="3"/>
        <v>0</v>
      </c>
      <c r="J132" s="109"/>
    </row>
    <row r="133" spans="1:10" hidden="1">
      <c r="A133" s="1558"/>
      <c r="B133" s="425"/>
      <c r="C133" s="561"/>
      <c r="D133" s="561"/>
      <c r="E133" s="493"/>
      <c r="F133" s="69"/>
      <c r="G133" s="69"/>
      <c r="H133" s="178">
        <f t="shared" si="2"/>
        <v>0</v>
      </c>
      <c r="I133" s="178">
        <f t="shared" si="3"/>
        <v>0</v>
      </c>
      <c r="J133" s="109"/>
    </row>
    <row r="134" spans="1:10" hidden="1">
      <c r="A134" s="1558"/>
      <c r="B134" s="425"/>
      <c r="C134" s="561"/>
      <c r="D134" s="561"/>
      <c r="E134" s="493"/>
      <c r="F134" s="69"/>
      <c r="G134" s="69"/>
      <c r="H134" s="178">
        <f t="shared" si="2"/>
        <v>0</v>
      </c>
      <c r="I134" s="178">
        <f t="shared" si="3"/>
        <v>0</v>
      </c>
      <c r="J134" s="109"/>
    </row>
    <row r="135" spans="1:10" hidden="1">
      <c r="A135" s="1558"/>
      <c r="B135" s="425"/>
      <c r="C135" s="561"/>
      <c r="D135" s="561"/>
      <c r="E135" s="493"/>
      <c r="F135" s="69"/>
      <c r="G135" s="69"/>
      <c r="H135" s="178">
        <f t="shared" si="2"/>
        <v>0</v>
      </c>
      <c r="I135" s="178">
        <f t="shared" si="3"/>
        <v>0</v>
      </c>
      <c r="J135" s="109"/>
    </row>
    <row r="136" spans="1:10" hidden="1">
      <c r="A136" s="1558"/>
      <c r="B136" s="425"/>
      <c r="C136" s="561"/>
      <c r="D136" s="561"/>
      <c r="E136" s="493"/>
      <c r="F136" s="69"/>
      <c r="G136" s="69"/>
      <c r="H136" s="178">
        <f t="shared" si="2"/>
        <v>0</v>
      </c>
      <c r="I136" s="178">
        <f t="shared" si="3"/>
        <v>0</v>
      </c>
      <c r="J136" s="109"/>
    </row>
    <row r="137" spans="1:10" hidden="1">
      <c r="A137" s="1558"/>
      <c r="B137" s="425"/>
      <c r="C137" s="561"/>
      <c r="D137" s="561"/>
      <c r="E137" s="493"/>
      <c r="F137" s="69"/>
      <c r="G137" s="69"/>
      <c r="H137" s="178">
        <f t="shared" ref="H137:H200" si="4">E137+D137-C137</f>
        <v>0</v>
      </c>
      <c r="I137" s="178">
        <f t="shared" ref="I137:I200" si="5">SUM(C137:E137)</f>
        <v>0</v>
      </c>
      <c r="J137" s="109"/>
    </row>
    <row r="138" spans="1:10" hidden="1">
      <c r="A138" s="1558"/>
      <c r="B138" s="425"/>
      <c r="C138" s="561"/>
      <c r="D138" s="561"/>
      <c r="E138" s="493"/>
      <c r="F138" s="69"/>
      <c r="G138" s="69"/>
      <c r="H138" s="178">
        <f t="shared" si="4"/>
        <v>0</v>
      </c>
      <c r="I138" s="178">
        <f t="shared" si="5"/>
        <v>0</v>
      </c>
      <c r="J138" s="109"/>
    </row>
    <row r="139" spans="1:10" hidden="1">
      <c r="A139" s="1558"/>
      <c r="B139" s="425"/>
      <c r="C139" s="493"/>
      <c r="D139" s="493"/>
      <c r="E139" s="493"/>
      <c r="F139" s="69"/>
      <c r="G139" s="69"/>
      <c r="H139" s="178">
        <f t="shared" si="4"/>
        <v>0</v>
      </c>
      <c r="I139" s="178">
        <f t="shared" si="5"/>
        <v>0</v>
      </c>
      <c r="J139" s="109"/>
    </row>
    <row r="140" spans="1:10" hidden="1">
      <c r="A140" s="1558"/>
      <c r="B140" s="425"/>
      <c r="C140" s="561"/>
      <c r="D140" s="561"/>
      <c r="E140" s="493"/>
      <c r="F140" s="69"/>
      <c r="G140" s="69"/>
      <c r="H140" s="178">
        <f t="shared" si="4"/>
        <v>0</v>
      </c>
      <c r="I140" s="178">
        <f t="shared" si="5"/>
        <v>0</v>
      </c>
      <c r="J140" s="109"/>
    </row>
    <row r="141" spans="1:10" hidden="1">
      <c r="A141" s="1558"/>
      <c r="B141" s="427"/>
      <c r="C141" s="575"/>
      <c r="D141" s="575"/>
      <c r="E141" s="576"/>
      <c r="F141" s="69"/>
      <c r="G141" s="69"/>
      <c r="H141" s="178">
        <f t="shared" si="4"/>
        <v>0</v>
      </c>
      <c r="I141" s="178">
        <f t="shared" si="5"/>
        <v>0</v>
      </c>
      <c r="J141" s="109"/>
    </row>
    <row r="142" spans="1:10" hidden="1">
      <c r="A142" s="1558"/>
      <c r="B142" s="427"/>
      <c r="C142" s="575"/>
      <c r="D142" s="575"/>
      <c r="E142" s="576"/>
      <c r="F142" s="69"/>
      <c r="G142" s="69"/>
      <c r="H142" s="178">
        <f t="shared" si="4"/>
        <v>0</v>
      </c>
      <c r="I142" s="178">
        <f t="shared" si="5"/>
        <v>0</v>
      </c>
      <c r="J142" s="109"/>
    </row>
    <row r="143" spans="1:10" hidden="1">
      <c r="A143" s="1558"/>
      <c r="B143" s="427"/>
      <c r="C143" s="575"/>
      <c r="D143" s="575"/>
      <c r="E143" s="576"/>
      <c r="F143" s="69"/>
      <c r="G143" s="69"/>
      <c r="H143" s="178">
        <f t="shared" si="4"/>
        <v>0</v>
      </c>
      <c r="I143" s="178">
        <f t="shared" si="5"/>
        <v>0</v>
      </c>
      <c r="J143" s="109"/>
    </row>
    <row r="144" spans="1:10" hidden="1">
      <c r="A144" s="1558"/>
      <c r="B144" s="427"/>
      <c r="C144" s="578"/>
      <c r="D144" s="578"/>
      <c r="E144" s="579"/>
      <c r="F144" s="69"/>
      <c r="G144" s="69"/>
      <c r="H144" s="178">
        <f t="shared" si="4"/>
        <v>0</v>
      </c>
      <c r="I144" s="178">
        <f t="shared" si="5"/>
        <v>0</v>
      </c>
      <c r="J144" s="109"/>
    </row>
    <row r="145" spans="1:10" hidden="1">
      <c r="A145" s="1558"/>
      <c r="B145" s="425"/>
      <c r="C145" s="578"/>
      <c r="D145" s="578"/>
      <c r="E145" s="580"/>
      <c r="F145" s="69"/>
      <c r="G145" s="69"/>
      <c r="H145" s="178">
        <f t="shared" si="4"/>
        <v>0</v>
      </c>
      <c r="I145" s="178">
        <f t="shared" si="5"/>
        <v>0</v>
      </c>
      <c r="J145" s="109"/>
    </row>
    <row r="146" spans="1:10" hidden="1">
      <c r="A146" s="1558"/>
      <c r="B146" s="427"/>
      <c r="C146" s="575"/>
      <c r="D146" s="575"/>
      <c r="E146" s="576"/>
      <c r="F146" s="69"/>
      <c r="G146" s="69"/>
      <c r="H146" s="178">
        <f t="shared" si="4"/>
        <v>0</v>
      </c>
      <c r="I146" s="178">
        <f t="shared" si="5"/>
        <v>0</v>
      </c>
      <c r="J146" s="109"/>
    </row>
    <row r="147" spans="1:10" hidden="1">
      <c r="A147" s="1558"/>
      <c r="B147" s="425"/>
      <c r="C147" s="561"/>
      <c r="D147" s="561"/>
      <c r="E147" s="577"/>
      <c r="F147" s="69"/>
      <c r="G147" s="69"/>
      <c r="H147" s="178">
        <f t="shared" si="4"/>
        <v>0</v>
      </c>
      <c r="I147" s="178">
        <f t="shared" si="5"/>
        <v>0</v>
      </c>
      <c r="J147" s="109"/>
    </row>
    <row r="148" spans="1:10" hidden="1">
      <c r="A148" s="1558"/>
      <c r="B148" s="425"/>
      <c r="C148" s="561"/>
      <c r="D148" s="561"/>
      <c r="E148" s="577"/>
      <c r="F148" s="69"/>
      <c r="G148" s="69"/>
      <c r="H148" s="178">
        <f t="shared" si="4"/>
        <v>0</v>
      </c>
      <c r="I148" s="178">
        <f t="shared" si="5"/>
        <v>0</v>
      </c>
      <c r="J148" s="109"/>
    </row>
    <row r="149" spans="1:10" hidden="1">
      <c r="A149" s="1558"/>
      <c r="B149" s="425"/>
      <c r="C149" s="561"/>
      <c r="D149" s="561"/>
      <c r="E149" s="577"/>
      <c r="F149" s="69"/>
      <c r="G149" s="69"/>
      <c r="H149" s="178">
        <f t="shared" si="4"/>
        <v>0</v>
      </c>
      <c r="I149" s="178">
        <f t="shared" si="5"/>
        <v>0</v>
      </c>
      <c r="J149" s="109"/>
    </row>
    <row r="150" spans="1:10" hidden="1">
      <c r="A150" s="1558"/>
      <c r="B150" s="425"/>
      <c r="C150" s="561"/>
      <c r="D150" s="561"/>
      <c r="E150" s="577"/>
      <c r="F150" s="69"/>
      <c r="G150" s="69"/>
      <c r="H150" s="178">
        <f t="shared" si="4"/>
        <v>0</v>
      </c>
      <c r="I150" s="178">
        <f t="shared" si="5"/>
        <v>0</v>
      </c>
      <c r="J150" s="109"/>
    </row>
    <row r="151" spans="1:10" hidden="1">
      <c r="A151" s="1558"/>
      <c r="B151" s="425"/>
      <c r="C151" s="561"/>
      <c r="D151" s="561"/>
      <c r="E151" s="577"/>
      <c r="F151" s="69"/>
      <c r="G151" s="69"/>
      <c r="H151" s="178">
        <f t="shared" si="4"/>
        <v>0</v>
      </c>
      <c r="I151" s="178">
        <f t="shared" si="5"/>
        <v>0</v>
      </c>
      <c r="J151" s="109"/>
    </row>
    <row r="152" spans="1:10" hidden="1">
      <c r="A152" s="1558"/>
      <c r="B152" s="425"/>
      <c r="C152" s="561"/>
      <c r="D152" s="561"/>
      <c r="E152" s="577"/>
      <c r="F152" s="69"/>
      <c r="G152" s="69"/>
      <c r="H152" s="178">
        <f t="shared" si="4"/>
        <v>0</v>
      </c>
      <c r="I152" s="178">
        <f t="shared" si="5"/>
        <v>0</v>
      </c>
      <c r="J152" s="109"/>
    </row>
    <row r="153" spans="1:10" hidden="1">
      <c r="A153" s="1558"/>
      <c r="B153" s="425"/>
      <c r="C153" s="561"/>
      <c r="D153" s="561"/>
      <c r="E153" s="577"/>
      <c r="F153" s="69"/>
      <c r="G153" s="69"/>
      <c r="H153" s="178">
        <f t="shared" si="4"/>
        <v>0</v>
      </c>
      <c r="I153" s="178">
        <f t="shared" si="5"/>
        <v>0</v>
      </c>
      <c r="J153" s="109"/>
    </row>
    <row r="154" spans="1:10" hidden="1">
      <c r="A154" s="1558"/>
      <c r="B154" s="425"/>
      <c r="C154" s="561"/>
      <c r="D154" s="561"/>
      <c r="E154" s="577"/>
      <c r="F154" s="69"/>
      <c r="G154" s="69"/>
      <c r="H154" s="178">
        <f t="shared" si="4"/>
        <v>0</v>
      </c>
      <c r="I154" s="178">
        <f t="shared" si="5"/>
        <v>0</v>
      </c>
      <c r="J154" s="109"/>
    </row>
    <row r="155" spans="1:10" hidden="1">
      <c r="A155" s="1558"/>
      <c r="B155" s="425"/>
      <c r="C155" s="561"/>
      <c r="D155" s="561"/>
      <c r="E155" s="577"/>
      <c r="F155" s="69"/>
      <c r="G155" s="69"/>
      <c r="H155" s="178">
        <f t="shared" si="4"/>
        <v>0</v>
      </c>
      <c r="I155" s="178">
        <f t="shared" si="5"/>
        <v>0</v>
      </c>
      <c r="J155" s="109"/>
    </row>
    <row r="156" spans="1:10" hidden="1">
      <c r="A156" s="1558"/>
      <c r="B156" s="425"/>
      <c r="C156" s="561"/>
      <c r="D156" s="561"/>
      <c r="E156" s="577"/>
      <c r="F156" s="69"/>
      <c r="G156" s="69"/>
      <c r="H156" s="178">
        <f t="shared" si="4"/>
        <v>0</v>
      </c>
      <c r="I156" s="178">
        <f t="shared" si="5"/>
        <v>0</v>
      </c>
      <c r="J156" s="109"/>
    </row>
    <row r="157" spans="1:10" hidden="1">
      <c r="A157" s="1558"/>
      <c r="B157" s="425"/>
      <c r="C157" s="561"/>
      <c r="D157" s="561"/>
      <c r="E157" s="577"/>
      <c r="F157" s="69"/>
      <c r="G157" s="69"/>
      <c r="H157" s="178">
        <f t="shared" si="4"/>
        <v>0</v>
      </c>
      <c r="I157" s="178">
        <f t="shared" si="5"/>
        <v>0</v>
      </c>
      <c r="J157" s="109"/>
    </row>
    <row r="158" spans="1:10" hidden="1">
      <c r="A158" s="1558"/>
      <c r="B158" s="428" t="s">
        <v>985</v>
      </c>
      <c r="C158" s="559">
        <f>SUBTOTAL(9,C126:C146)</f>
        <v>0</v>
      </c>
      <c r="D158" s="559">
        <f>SUBTOTAL(9,D126:D146)</f>
        <v>0</v>
      </c>
      <c r="E158" s="559">
        <f>SUBTOTAL(9,E126:E146)</f>
        <v>0</v>
      </c>
      <c r="F158" s="115">
        <f>SUM(F126:F135)</f>
        <v>0</v>
      </c>
      <c r="G158" s="115">
        <f>SUM(G126:G135)</f>
        <v>0</v>
      </c>
      <c r="H158" s="178">
        <f t="shared" si="4"/>
        <v>0</v>
      </c>
      <c r="I158" s="178">
        <f t="shared" si="5"/>
        <v>0</v>
      </c>
      <c r="J158" s="109"/>
    </row>
    <row r="159" spans="1:10" s="411" customFormat="1" hidden="1">
      <c r="A159" s="1558" t="s">
        <v>287</v>
      </c>
      <c r="B159" s="541"/>
      <c r="C159" s="583"/>
      <c r="D159" s="583"/>
      <c r="E159" s="582"/>
      <c r="F159" s="412"/>
      <c r="G159" s="412"/>
      <c r="H159" s="178">
        <f t="shared" si="4"/>
        <v>0</v>
      </c>
      <c r="I159" s="178">
        <f t="shared" si="5"/>
        <v>0</v>
      </c>
      <c r="J159" s="109"/>
    </row>
    <row r="160" spans="1:10" hidden="1">
      <c r="A160" s="1558"/>
      <c r="B160" s="541"/>
      <c r="C160" s="583"/>
      <c r="D160" s="583"/>
      <c r="E160" s="582"/>
      <c r="F160" s="69"/>
      <c r="G160" s="69"/>
      <c r="H160" s="178">
        <f t="shared" si="4"/>
        <v>0</v>
      </c>
      <c r="I160" s="178">
        <f t="shared" si="5"/>
        <v>0</v>
      </c>
      <c r="J160" s="109"/>
    </row>
    <row r="161" spans="1:10" hidden="1">
      <c r="A161" s="1558"/>
      <c r="B161" s="425"/>
      <c r="C161" s="561"/>
      <c r="D161" s="561"/>
      <c r="E161" s="493"/>
      <c r="F161" s="69"/>
      <c r="G161" s="69"/>
      <c r="H161" s="178">
        <f t="shared" si="4"/>
        <v>0</v>
      </c>
      <c r="I161" s="178">
        <f t="shared" si="5"/>
        <v>0</v>
      </c>
      <c r="J161" s="109"/>
    </row>
    <row r="162" spans="1:10" hidden="1">
      <c r="A162" s="1558"/>
      <c r="B162" s="425"/>
      <c r="C162" s="561"/>
      <c r="D162" s="561"/>
      <c r="E162" s="493"/>
      <c r="F162" s="69"/>
      <c r="G162" s="69"/>
      <c r="H162" s="178">
        <f t="shared" si="4"/>
        <v>0</v>
      </c>
      <c r="I162" s="178">
        <f t="shared" si="5"/>
        <v>0</v>
      </c>
      <c r="J162" s="109"/>
    </row>
    <row r="163" spans="1:10" hidden="1">
      <c r="A163" s="1558"/>
      <c r="B163" s="425"/>
      <c r="C163" s="561"/>
      <c r="D163" s="561"/>
      <c r="E163" s="493"/>
      <c r="F163" s="69"/>
      <c r="G163" s="69"/>
      <c r="H163" s="178">
        <f t="shared" si="4"/>
        <v>0</v>
      </c>
      <c r="I163" s="178">
        <f t="shared" si="5"/>
        <v>0</v>
      </c>
      <c r="J163" s="109"/>
    </row>
    <row r="164" spans="1:10" hidden="1">
      <c r="A164" s="1558"/>
      <c r="B164" s="425"/>
      <c r="C164" s="561"/>
      <c r="D164" s="561"/>
      <c r="E164" s="493"/>
      <c r="F164" s="69"/>
      <c r="G164" s="69"/>
      <c r="H164" s="178">
        <f t="shared" si="4"/>
        <v>0</v>
      </c>
      <c r="I164" s="178">
        <f t="shared" si="5"/>
        <v>0</v>
      </c>
      <c r="J164" s="109"/>
    </row>
    <row r="165" spans="1:10" hidden="1">
      <c r="A165" s="1558"/>
      <c r="B165" s="425"/>
      <c r="C165" s="561"/>
      <c r="D165" s="561"/>
      <c r="E165" s="493"/>
      <c r="F165" s="69"/>
      <c r="G165" s="69"/>
      <c r="H165" s="178">
        <f t="shared" si="4"/>
        <v>0</v>
      </c>
      <c r="I165" s="178">
        <f t="shared" si="5"/>
        <v>0</v>
      </c>
      <c r="J165" s="109"/>
    </row>
    <row r="166" spans="1:10" hidden="1">
      <c r="A166" s="1558"/>
      <c r="B166" s="425"/>
      <c r="C166" s="561"/>
      <c r="D166" s="561"/>
      <c r="E166" s="493"/>
      <c r="F166" s="69"/>
      <c r="G166" s="69"/>
      <c r="H166" s="178">
        <f t="shared" si="4"/>
        <v>0</v>
      </c>
      <c r="I166" s="178">
        <f t="shared" si="5"/>
        <v>0</v>
      </c>
      <c r="J166" s="109"/>
    </row>
    <row r="167" spans="1:10" hidden="1">
      <c r="A167" s="1558"/>
      <c r="B167" s="425"/>
      <c r="C167" s="561"/>
      <c r="D167" s="561"/>
      <c r="E167" s="493"/>
      <c r="F167" s="69"/>
      <c r="G167" s="69"/>
      <c r="H167" s="178">
        <f t="shared" si="4"/>
        <v>0</v>
      </c>
      <c r="I167" s="178">
        <f t="shared" si="5"/>
        <v>0</v>
      </c>
      <c r="J167" s="109"/>
    </row>
    <row r="168" spans="1:10" hidden="1">
      <c r="A168" s="1558"/>
      <c r="B168" s="425"/>
      <c r="C168" s="561"/>
      <c r="D168" s="561"/>
      <c r="E168" s="493"/>
      <c r="F168" s="69"/>
      <c r="G168" s="69"/>
      <c r="H168" s="178">
        <f t="shared" si="4"/>
        <v>0</v>
      </c>
      <c r="I168" s="178">
        <f t="shared" si="5"/>
        <v>0</v>
      </c>
      <c r="J168" s="109"/>
    </row>
    <row r="169" spans="1:10" hidden="1">
      <c r="A169" s="1558"/>
      <c r="B169" s="425"/>
      <c r="C169" s="561"/>
      <c r="D169" s="561"/>
      <c r="E169" s="493"/>
      <c r="F169" s="69"/>
      <c r="G169" s="69"/>
      <c r="H169" s="178">
        <f t="shared" si="4"/>
        <v>0</v>
      </c>
      <c r="I169" s="178">
        <f t="shared" si="5"/>
        <v>0</v>
      </c>
      <c r="J169" s="109"/>
    </row>
    <row r="170" spans="1:10" hidden="1">
      <c r="A170" s="1558"/>
      <c r="B170" s="425"/>
      <c r="C170" s="561"/>
      <c r="D170" s="561"/>
      <c r="E170" s="561"/>
      <c r="F170" s="69"/>
      <c r="G170" s="69"/>
      <c r="H170" s="178">
        <f t="shared" si="4"/>
        <v>0</v>
      </c>
      <c r="I170" s="178">
        <f t="shared" si="5"/>
        <v>0</v>
      </c>
      <c r="J170" s="109"/>
    </row>
    <row r="171" spans="1:10" hidden="1">
      <c r="A171" s="1558"/>
      <c r="B171" s="425"/>
      <c r="C171" s="561"/>
      <c r="D171" s="561"/>
      <c r="E171" s="561"/>
      <c r="F171" s="69"/>
      <c r="G171" s="69"/>
      <c r="H171" s="178">
        <f t="shared" si="4"/>
        <v>0</v>
      </c>
      <c r="I171" s="178">
        <f t="shared" si="5"/>
        <v>0</v>
      </c>
      <c r="J171" s="109"/>
    </row>
    <row r="172" spans="1:10" hidden="1">
      <c r="A172" s="1558"/>
      <c r="B172" s="425"/>
      <c r="C172" s="561"/>
      <c r="D172" s="561"/>
      <c r="E172" s="561"/>
      <c r="F172" s="69"/>
      <c r="G172" s="69"/>
      <c r="H172" s="178">
        <f t="shared" si="4"/>
        <v>0</v>
      </c>
      <c r="I172" s="178">
        <f t="shared" si="5"/>
        <v>0</v>
      </c>
      <c r="J172" s="109"/>
    </row>
    <row r="173" spans="1:10" hidden="1">
      <c r="A173" s="1558"/>
      <c r="B173" s="425"/>
      <c r="C173" s="561"/>
      <c r="D173" s="561"/>
      <c r="E173" s="561"/>
      <c r="F173" s="69"/>
      <c r="G173" s="69"/>
      <c r="H173" s="178">
        <f t="shared" si="4"/>
        <v>0</v>
      </c>
      <c r="I173" s="178">
        <f t="shared" si="5"/>
        <v>0</v>
      </c>
      <c r="J173" s="109"/>
    </row>
    <row r="174" spans="1:10" hidden="1">
      <c r="A174" s="1558"/>
      <c r="B174" s="425"/>
      <c r="C174" s="561"/>
      <c r="D174" s="561"/>
      <c r="E174" s="561"/>
      <c r="F174" s="69"/>
      <c r="G174" s="69"/>
      <c r="H174" s="178">
        <f t="shared" si="4"/>
        <v>0</v>
      </c>
      <c r="I174" s="178">
        <f t="shared" si="5"/>
        <v>0</v>
      </c>
      <c r="J174" s="109"/>
    </row>
    <row r="175" spans="1:10" hidden="1">
      <c r="A175" s="1558"/>
      <c r="B175" s="425"/>
      <c r="C175" s="561"/>
      <c r="D175" s="561"/>
      <c r="E175" s="561"/>
      <c r="F175" s="69"/>
      <c r="G175" s="69"/>
      <c r="H175" s="178">
        <f t="shared" si="4"/>
        <v>0</v>
      </c>
      <c r="I175" s="178">
        <f t="shared" si="5"/>
        <v>0</v>
      </c>
      <c r="J175" s="109"/>
    </row>
    <row r="176" spans="1:10" hidden="1">
      <c r="A176" s="1558"/>
      <c r="B176" s="425"/>
      <c r="C176" s="561"/>
      <c r="D176" s="561"/>
      <c r="E176" s="493"/>
      <c r="F176" s="69"/>
      <c r="G176" s="69"/>
      <c r="H176" s="178">
        <f t="shared" si="4"/>
        <v>0</v>
      </c>
      <c r="I176" s="178">
        <f t="shared" si="5"/>
        <v>0</v>
      </c>
      <c r="J176" s="109"/>
    </row>
    <row r="177" spans="1:10" hidden="1">
      <c r="A177" s="1558"/>
      <c r="B177" s="425"/>
      <c r="C177" s="561"/>
      <c r="D177" s="561"/>
      <c r="E177" s="493"/>
      <c r="F177" s="69"/>
      <c r="G177" s="69"/>
      <c r="H177" s="178">
        <f t="shared" si="4"/>
        <v>0</v>
      </c>
      <c r="I177" s="178">
        <f t="shared" si="5"/>
        <v>0</v>
      </c>
      <c r="J177" s="109"/>
    </row>
    <row r="178" spans="1:10" hidden="1">
      <c r="A178" s="1558"/>
      <c r="B178" s="425"/>
      <c r="C178" s="561"/>
      <c r="D178" s="561"/>
      <c r="E178" s="561"/>
      <c r="F178" s="69"/>
      <c r="G178" s="69"/>
      <c r="H178" s="178">
        <f t="shared" si="4"/>
        <v>0</v>
      </c>
      <c r="I178" s="178">
        <f t="shared" si="5"/>
        <v>0</v>
      </c>
      <c r="J178" s="109"/>
    </row>
    <row r="179" spans="1:10" hidden="1">
      <c r="A179" s="1558"/>
      <c r="B179" s="425"/>
      <c r="C179" s="561"/>
      <c r="D179" s="561"/>
      <c r="E179" s="561"/>
      <c r="F179" s="69"/>
      <c r="G179" s="69"/>
      <c r="H179" s="178">
        <f t="shared" si="4"/>
        <v>0</v>
      </c>
      <c r="I179" s="178">
        <f t="shared" si="5"/>
        <v>0</v>
      </c>
      <c r="J179" s="109"/>
    </row>
    <row r="180" spans="1:10" hidden="1">
      <c r="A180" s="1558"/>
      <c r="B180" s="425"/>
      <c r="C180" s="561"/>
      <c r="D180" s="561"/>
      <c r="E180" s="493"/>
      <c r="F180" s="69"/>
      <c r="G180" s="69"/>
      <c r="H180" s="178">
        <f t="shared" si="4"/>
        <v>0</v>
      </c>
      <c r="I180" s="178">
        <f t="shared" si="5"/>
        <v>0</v>
      </c>
      <c r="J180" s="109"/>
    </row>
    <row r="181" spans="1:10" hidden="1">
      <c r="A181" s="1558"/>
      <c r="B181" s="425"/>
      <c r="C181" s="561"/>
      <c r="D181" s="561"/>
      <c r="E181" s="493"/>
      <c r="F181" s="69"/>
      <c r="G181" s="69"/>
      <c r="H181" s="178">
        <f t="shared" si="4"/>
        <v>0</v>
      </c>
      <c r="I181" s="178">
        <f t="shared" si="5"/>
        <v>0</v>
      </c>
      <c r="J181" s="109"/>
    </row>
    <row r="182" spans="1:10" hidden="1">
      <c r="A182" s="1558"/>
      <c r="B182" s="425"/>
      <c r="C182" s="561"/>
      <c r="D182" s="561"/>
      <c r="E182" s="493"/>
      <c r="F182" s="69"/>
      <c r="G182" s="69"/>
      <c r="H182" s="178">
        <f t="shared" si="4"/>
        <v>0</v>
      </c>
      <c r="I182" s="178">
        <f t="shared" si="5"/>
        <v>0</v>
      </c>
      <c r="J182" s="109"/>
    </row>
    <row r="183" spans="1:10" hidden="1">
      <c r="A183" s="1558"/>
      <c r="B183" s="425"/>
      <c r="C183" s="561"/>
      <c r="D183" s="561"/>
      <c r="E183" s="577"/>
      <c r="F183" s="69"/>
      <c r="G183" s="69"/>
      <c r="H183" s="178">
        <f t="shared" si="4"/>
        <v>0</v>
      </c>
      <c r="I183" s="178">
        <f t="shared" si="5"/>
        <v>0</v>
      </c>
      <c r="J183" s="109"/>
    </row>
    <row r="184" spans="1:10" hidden="1">
      <c r="A184" s="1558"/>
      <c r="B184" s="427"/>
      <c r="C184" s="578"/>
      <c r="D184" s="578"/>
      <c r="E184" s="579"/>
      <c r="F184" s="69"/>
      <c r="G184" s="69"/>
      <c r="H184" s="178">
        <f t="shared" si="4"/>
        <v>0</v>
      </c>
      <c r="I184" s="178">
        <f t="shared" si="5"/>
        <v>0</v>
      </c>
      <c r="J184" s="109"/>
    </row>
    <row r="185" spans="1:10" hidden="1">
      <c r="A185" s="1558"/>
      <c r="B185" s="427"/>
      <c r="C185" s="578"/>
      <c r="D185" s="578"/>
      <c r="E185" s="579"/>
      <c r="F185" s="69"/>
      <c r="G185" s="69"/>
      <c r="H185" s="178">
        <f t="shared" si="4"/>
        <v>0</v>
      </c>
      <c r="I185" s="178">
        <f t="shared" si="5"/>
        <v>0</v>
      </c>
      <c r="J185" s="109"/>
    </row>
    <row r="186" spans="1:10" hidden="1">
      <c r="A186" s="1558"/>
      <c r="B186" s="427"/>
      <c r="C186" s="578"/>
      <c r="D186" s="578"/>
      <c r="E186" s="579"/>
      <c r="F186" s="69"/>
      <c r="G186" s="69"/>
      <c r="H186" s="178">
        <f t="shared" si="4"/>
        <v>0</v>
      </c>
      <c r="I186" s="178">
        <f t="shared" si="5"/>
        <v>0</v>
      </c>
      <c r="J186" s="109"/>
    </row>
    <row r="187" spans="1:10" hidden="1">
      <c r="A187" s="1558"/>
      <c r="B187" s="427"/>
      <c r="C187" s="578"/>
      <c r="D187" s="578"/>
      <c r="E187" s="579"/>
      <c r="F187" s="69"/>
      <c r="G187" s="69"/>
      <c r="H187" s="178">
        <f t="shared" si="4"/>
        <v>0</v>
      </c>
      <c r="I187" s="178">
        <f t="shared" si="5"/>
        <v>0</v>
      </c>
      <c r="J187" s="109"/>
    </row>
    <row r="188" spans="1:10" hidden="1">
      <c r="A188" s="1558"/>
      <c r="B188" s="425"/>
      <c r="C188" s="561"/>
      <c r="D188" s="561"/>
      <c r="E188" s="577"/>
      <c r="F188" s="69"/>
      <c r="G188" s="69"/>
      <c r="H188" s="178">
        <f t="shared" si="4"/>
        <v>0</v>
      </c>
      <c r="I188" s="178">
        <f t="shared" si="5"/>
        <v>0</v>
      </c>
      <c r="J188" s="109"/>
    </row>
    <row r="189" spans="1:10" hidden="1">
      <c r="A189" s="1558"/>
      <c r="B189" s="425"/>
      <c r="C189" s="561"/>
      <c r="D189" s="561"/>
      <c r="E189" s="577"/>
      <c r="F189" s="69"/>
      <c r="G189" s="69"/>
      <c r="H189" s="178">
        <f t="shared" si="4"/>
        <v>0</v>
      </c>
      <c r="I189" s="178">
        <f t="shared" si="5"/>
        <v>0</v>
      </c>
      <c r="J189" s="109"/>
    </row>
    <row r="190" spans="1:10" hidden="1">
      <c r="A190" s="1558"/>
      <c r="B190" s="425"/>
      <c r="C190" s="561"/>
      <c r="D190" s="561"/>
      <c r="E190" s="577"/>
      <c r="F190" s="69"/>
      <c r="G190" s="69"/>
      <c r="H190" s="178">
        <f t="shared" si="4"/>
        <v>0</v>
      </c>
      <c r="I190" s="178">
        <f t="shared" si="5"/>
        <v>0</v>
      </c>
      <c r="J190" s="109"/>
    </row>
    <row r="191" spans="1:10" hidden="1">
      <c r="A191" s="1558"/>
      <c r="B191" s="425"/>
      <c r="C191" s="561"/>
      <c r="D191" s="561"/>
      <c r="E191" s="577"/>
      <c r="F191" s="69"/>
      <c r="G191" s="69"/>
      <c r="H191" s="178">
        <f t="shared" si="4"/>
        <v>0</v>
      </c>
      <c r="I191" s="178">
        <f t="shared" si="5"/>
        <v>0</v>
      </c>
      <c r="J191" s="109"/>
    </row>
    <row r="192" spans="1:10" hidden="1">
      <c r="A192" s="1558"/>
      <c r="B192" s="425"/>
      <c r="C192" s="561"/>
      <c r="D192" s="561"/>
      <c r="E192" s="577"/>
      <c r="F192" s="69"/>
      <c r="G192" s="69"/>
      <c r="H192" s="178">
        <f t="shared" si="4"/>
        <v>0</v>
      </c>
      <c r="I192" s="178">
        <f t="shared" si="5"/>
        <v>0</v>
      </c>
      <c r="J192" s="109"/>
    </row>
    <row r="193" spans="1:10" hidden="1">
      <c r="A193" s="1558"/>
      <c r="B193" s="425"/>
      <c r="C193" s="561"/>
      <c r="D193" s="561"/>
      <c r="E193" s="577"/>
      <c r="F193" s="69"/>
      <c r="G193" s="69"/>
      <c r="H193" s="178">
        <f t="shared" si="4"/>
        <v>0</v>
      </c>
      <c r="I193" s="178">
        <f t="shared" si="5"/>
        <v>0</v>
      </c>
      <c r="J193" s="109"/>
    </row>
    <row r="194" spans="1:10" hidden="1">
      <c r="A194" s="1558"/>
      <c r="B194" s="425"/>
      <c r="C194" s="561"/>
      <c r="D194" s="561"/>
      <c r="E194" s="577"/>
      <c r="F194" s="69"/>
      <c r="G194" s="69"/>
      <c r="H194" s="178">
        <f t="shared" si="4"/>
        <v>0</v>
      </c>
      <c r="I194" s="178">
        <f t="shared" si="5"/>
        <v>0</v>
      </c>
      <c r="J194" s="109"/>
    </row>
    <row r="195" spans="1:10" hidden="1">
      <c r="A195" s="1558"/>
      <c r="B195" s="425"/>
      <c r="C195" s="561"/>
      <c r="D195" s="561"/>
      <c r="E195" s="561"/>
      <c r="F195" s="69"/>
      <c r="G195" s="69"/>
      <c r="H195" s="178">
        <f t="shared" si="4"/>
        <v>0</v>
      </c>
      <c r="I195" s="178">
        <f t="shared" si="5"/>
        <v>0</v>
      </c>
      <c r="J195" s="109"/>
    </row>
    <row r="196" spans="1:10" hidden="1">
      <c r="A196" s="1558"/>
      <c r="B196" s="425"/>
      <c r="C196" s="561"/>
      <c r="D196" s="561"/>
      <c r="E196" s="561"/>
      <c r="F196" s="69"/>
      <c r="G196" s="69"/>
      <c r="H196" s="178">
        <f t="shared" si="4"/>
        <v>0</v>
      </c>
      <c r="I196" s="178">
        <f t="shared" si="5"/>
        <v>0</v>
      </c>
      <c r="J196" s="109"/>
    </row>
    <row r="197" spans="1:10" hidden="1">
      <c r="A197" s="1558"/>
      <c r="B197" s="425"/>
      <c r="C197" s="561"/>
      <c r="D197" s="561"/>
      <c r="E197" s="561"/>
      <c r="F197" s="69"/>
      <c r="G197" s="69"/>
      <c r="H197" s="178">
        <f t="shared" si="4"/>
        <v>0</v>
      </c>
      <c r="I197" s="178">
        <f t="shared" si="5"/>
        <v>0</v>
      </c>
      <c r="J197" s="109"/>
    </row>
    <row r="198" spans="1:10" hidden="1">
      <c r="A198" s="1558"/>
      <c r="B198" s="425"/>
      <c r="C198" s="561"/>
      <c r="D198" s="561"/>
      <c r="E198" s="561"/>
      <c r="F198" s="69"/>
      <c r="G198" s="69"/>
      <c r="H198" s="178">
        <f t="shared" si="4"/>
        <v>0</v>
      </c>
      <c r="I198" s="178">
        <f t="shared" si="5"/>
        <v>0</v>
      </c>
      <c r="J198" s="109"/>
    </row>
    <row r="199" spans="1:10" hidden="1">
      <c r="A199" s="1558"/>
      <c r="B199" s="425"/>
      <c r="C199" s="561"/>
      <c r="D199" s="561"/>
      <c r="E199" s="561"/>
      <c r="F199" s="69"/>
      <c r="G199" s="69"/>
      <c r="H199" s="178">
        <f t="shared" si="4"/>
        <v>0</v>
      </c>
      <c r="I199" s="178">
        <f t="shared" si="5"/>
        <v>0</v>
      </c>
      <c r="J199" s="109"/>
    </row>
    <row r="200" spans="1:10" hidden="1">
      <c r="A200" s="1558"/>
      <c r="B200" s="425"/>
      <c r="C200" s="561"/>
      <c r="D200" s="561"/>
      <c r="E200" s="561"/>
      <c r="F200" s="69"/>
      <c r="G200" s="69"/>
      <c r="H200" s="178">
        <f t="shared" si="4"/>
        <v>0</v>
      </c>
      <c r="I200" s="178">
        <f t="shared" si="5"/>
        <v>0</v>
      </c>
      <c r="J200" s="109"/>
    </row>
    <row r="201" spans="1:10" hidden="1">
      <c r="A201" s="1558"/>
      <c r="B201" s="428" t="s">
        <v>985</v>
      </c>
      <c r="C201" s="559">
        <f>SUM(C159:C200)</f>
        <v>0</v>
      </c>
      <c r="D201" s="559">
        <f>SUM(D159:D200)</f>
        <v>0</v>
      </c>
      <c r="E201" s="559">
        <f>SUM(E159:E200)</f>
        <v>0</v>
      </c>
      <c r="F201" s="115">
        <f>SUM(F159:F177)</f>
        <v>0</v>
      </c>
      <c r="G201" s="115">
        <f>SUM(G159:G177)</f>
        <v>0</v>
      </c>
      <c r="H201" s="178">
        <f t="shared" ref="H201:H264" si="6">E201+D201-C201</f>
        <v>0</v>
      </c>
      <c r="I201" s="178">
        <f t="shared" ref="I201:I264" si="7">SUM(C201:E201)</f>
        <v>0</v>
      </c>
      <c r="J201" s="109"/>
    </row>
    <row r="202" spans="1:10" ht="75" hidden="1">
      <c r="A202" s="1558" t="s">
        <v>231</v>
      </c>
      <c r="B202" s="541" t="s">
        <v>831</v>
      </c>
      <c r="C202" s="542">
        <f>2047000-2047000</f>
        <v>0</v>
      </c>
      <c r="D202" s="542"/>
      <c r="E202" s="542">
        <f>2047000-2047000</f>
        <v>0</v>
      </c>
      <c r="F202" s="69"/>
      <c r="G202" s="69"/>
      <c r="H202" s="178">
        <f t="shared" si="6"/>
        <v>0</v>
      </c>
      <c r="I202" s="178">
        <f t="shared" si="7"/>
        <v>0</v>
      </c>
      <c r="J202" s="109"/>
    </row>
    <row r="203" spans="1:10" hidden="1">
      <c r="A203" s="1558"/>
      <c r="B203" s="541"/>
      <c r="C203" s="583"/>
      <c r="D203" s="583"/>
      <c r="E203" s="583"/>
      <c r="F203" s="69"/>
      <c r="G203" s="69"/>
      <c r="H203" s="178">
        <f t="shared" si="6"/>
        <v>0</v>
      </c>
      <c r="I203" s="178">
        <f t="shared" si="7"/>
        <v>0</v>
      </c>
      <c r="J203" s="109"/>
    </row>
    <row r="204" spans="1:10" hidden="1">
      <c r="A204" s="1558"/>
      <c r="B204" s="541"/>
      <c r="C204" s="583"/>
      <c r="D204" s="583"/>
      <c r="E204" s="583"/>
      <c r="F204" s="69"/>
      <c r="G204" s="69"/>
      <c r="H204" s="178">
        <f t="shared" si="6"/>
        <v>0</v>
      </c>
      <c r="I204" s="178">
        <f t="shared" si="7"/>
        <v>0</v>
      </c>
      <c r="J204" s="109"/>
    </row>
    <row r="205" spans="1:10" hidden="1">
      <c r="A205" s="1558"/>
      <c r="B205" s="425"/>
      <c r="C205" s="561"/>
      <c r="D205" s="561"/>
      <c r="E205" s="493"/>
      <c r="F205" s="69"/>
      <c r="G205" s="69"/>
      <c r="H205" s="178">
        <f t="shared" si="6"/>
        <v>0</v>
      </c>
      <c r="I205" s="178">
        <f t="shared" si="7"/>
        <v>0</v>
      </c>
      <c r="J205" s="109"/>
    </row>
    <row r="206" spans="1:10" hidden="1">
      <c r="A206" s="1558"/>
      <c r="B206" s="425"/>
      <c r="C206" s="561"/>
      <c r="D206" s="561"/>
      <c r="E206" s="561"/>
      <c r="F206" s="69"/>
      <c r="G206" s="69"/>
      <c r="H206" s="178">
        <f t="shared" si="6"/>
        <v>0</v>
      </c>
      <c r="I206" s="178">
        <f t="shared" si="7"/>
        <v>0</v>
      </c>
      <c r="J206" s="109"/>
    </row>
    <row r="207" spans="1:10" hidden="1">
      <c r="A207" s="1558"/>
      <c r="B207" s="425"/>
      <c r="C207" s="561"/>
      <c r="D207" s="561"/>
      <c r="E207" s="561"/>
      <c r="F207" s="69"/>
      <c r="G207" s="69"/>
      <c r="H207" s="178">
        <f t="shared" si="6"/>
        <v>0</v>
      </c>
      <c r="I207" s="178">
        <f t="shared" si="7"/>
        <v>0</v>
      </c>
      <c r="J207" s="109"/>
    </row>
    <row r="208" spans="1:10" hidden="1">
      <c r="A208" s="1558"/>
      <c r="B208" s="425"/>
      <c r="C208" s="493"/>
      <c r="D208" s="493"/>
      <c r="E208" s="493"/>
      <c r="F208" s="69"/>
      <c r="G208" s="69"/>
      <c r="H208" s="178">
        <f t="shared" si="6"/>
        <v>0</v>
      </c>
      <c r="I208" s="178">
        <f t="shared" si="7"/>
        <v>0</v>
      </c>
      <c r="J208" s="109"/>
    </row>
    <row r="209" spans="1:10" hidden="1">
      <c r="A209" s="1558"/>
      <c r="B209" s="425"/>
      <c r="C209" s="493"/>
      <c r="D209" s="493"/>
      <c r="E209" s="493"/>
      <c r="F209" s="69"/>
      <c r="G209" s="69"/>
      <c r="H209" s="178">
        <f t="shared" si="6"/>
        <v>0</v>
      </c>
      <c r="I209" s="178">
        <f t="shared" si="7"/>
        <v>0</v>
      </c>
      <c r="J209" s="109"/>
    </row>
    <row r="210" spans="1:10" hidden="1">
      <c r="A210" s="1558"/>
      <c r="B210" s="425"/>
      <c r="C210" s="493"/>
      <c r="D210" s="493"/>
      <c r="E210" s="493"/>
      <c r="F210" s="69"/>
      <c r="G210" s="69"/>
      <c r="H210" s="178">
        <f t="shared" si="6"/>
        <v>0</v>
      </c>
      <c r="I210" s="178">
        <f t="shared" si="7"/>
        <v>0</v>
      </c>
      <c r="J210" s="109"/>
    </row>
    <row r="211" spans="1:10" hidden="1">
      <c r="A211" s="1558"/>
      <c r="B211" s="425"/>
      <c r="C211" s="493"/>
      <c r="D211" s="493"/>
      <c r="E211" s="493"/>
      <c r="F211" s="69"/>
      <c r="G211" s="69"/>
      <c r="H211" s="178">
        <f t="shared" si="6"/>
        <v>0</v>
      </c>
      <c r="I211" s="178">
        <f t="shared" si="7"/>
        <v>0</v>
      </c>
      <c r="J211" s="109"/>
    </row>
    <row r="212" spans="1:10" hidden="1">
      <c r="A212" s="1558"/>
      <c r="B212" s="425"/>
      <c r="C212" s="493"/>
      <c r="D212" s="493"/>
      <c r="E212" s="493"/>
      <c r="F212" s="69"/>
      <c r="G212" s="69"/>
      <c r="H212" s="178">
        <f t="shared" si="6"/>
        <v>0</v>
      </c>
      <c r="I212" s="178">
        <f t="shared" si="7"/>
        <v>0</v>
      </c>
      <c r="J212" s="109"/>
    </row>
    <row r="213" spans="1:10" hidden="1">
      <c r="A213" s="1558"/>
      <c r="B213" s="427"/>
      <c r="C213" s="575"/>
      <c r="D213" s="575"/>
      <c r="E213" s="576"/>
      <c r="F213" s="69"/>
      <c r="G213" s="69"/>
      <c r="H213" s="178">
        <f t="shared" si="6"/>
        <v>0</v>
      </c>
      <c r="I213" s="178">
        <f t="shared" si="7"/>
        <v>0</v>
      </c>
      <c r="J213" s="109"/>
    </row>
    <row r="214" spans="1:10" hidden="1">
      <c r="A214" s="1558"/>
      <c r="B214" s="427"/>
      <c r="C214" s="575"/>
      <c r="D214" s="575"/>
      <c r="E214" s="576"/>
      <c r="F214" s="69"/>
      <c r="G214" s="69"/>
      <c r="H214" s="178">
        <f t="shared" si="6"/>
        <v>0</v>
      </c>
      <c r="I214" s="178">
        <f t="shared" si="7"/>
        <v>0</v>
      </c>
      <c r="J214" s="109"/>
    </row>
    <row r="215" spans="1:10" hidden="1">
      <c r="A215" s="1558"/>
      <c r="B215" s="427"/>
      <c r="C215" s="575"/>
      <c r="D215" s="575"/>
      <c r="E215" s="576"/>
      <c r="F215" s="69"/>
      <c r="G215" s="69"/>
      <c r="H215" s="178">
        <f t="shared" si="6"/>
        <v>0</v>
      </c>
      <c r="I215" s="178">
        <f t="shared" si="7"/>
        <v>0</v>
      </c>
      <c r="J215" s="109"/>
    </row>
    <row r="216" spans="1:10" hidden="1">
      <c r="A216" s="1558"/>
      <c r="B216" s="425"/>
      <c r="C216" s="578"/>
      <c r="D216" s="578"/>
      <c r="E216" s="580"/>
      <c r="F216" s="69"/>
      <c r="G216" s="69"/>
      <c r="H216" s="178">
        <f t="shared" si="6"/>
        <v>0</v>
      </c>
      <c r="I216" s="178">
        <f t="shared" si="7"/>
        <v>0</v>
      </c>
      <c r="J216" s="109"/>
    </row>
    <row r="217" spans="1:10" hidden="1">
      <c r="A217" s="1558"/>
      <c r="B217" s="425"/>
      <c r="C217" s="578"/>
      <c r="D217" s="578"/>
      <c r="E217" s="580"/>
      <c r="F217" s="69"/>
      <c r="G217" s="69"/>
      <c r="H217" s="178">
        <f t="shared" si="6"/>
        <v>0</v>
      </c>
      <c r="I217" s="178">
        <f t="shared" si="7"/>
        <v>0</v>
      </c>
      <c r="J217" s="109"/>
    </row>
    <row r="218" spans="1:10" hidden="1">
      <c r="A218" s="1558"/>
      <c r="B218" s="425"/>
      <c r="C218" s="578"/>
      <c r="D218" s="578"/>
      <c r="E218" s="580"/>
      <c r="F218" s="69"/>
      <c r="G218" s="69"/>
      <c r="H218" s="178">
        <f t="shared" si="6"/>
        <v>0</v>
      </c>
      <c r="I218" s="178">
        <f t="shared" si="7"/>
        <v>0</v>
      </c>
      <c r="J218" s="109"/>
    </row>
    <row r="219" spans="1:10" hidden="1">
      <c r="A219" s="1558"/>
      <c r="B219" s="425"/>
      <c r="C219" s="578"/>
      <c r="D219" s="578"/>
      <c r="E219" s="580"/>
      <c r="F219" s="69"/>
      <c r="G219" s="69"/>
      <c r="H219" s="178">
        <f t="shared" si="6"/>
        <v>0</v>
      </c>
      <c r="I219" s="178">
        <f t="shared" si="7"/>
        <v>0</v>
      </c>
      <c r="J219" s="109"/>
    </row>
    <row r="220" spans="1:10" hidden="1">
      <c r="A220" s="1558"/>
      <c r="B220" s="425"/>
      <c r="C220" s="578"/>
      <c r="D220" s="578"/>
      <c r="E220" s="580"/>
      <c r="F220" s="69"/>
      <c r="G220" s="69"/>
      <c r="H220" s="178">
        <f t="shared" si="6"/>
        <v>0</v>
      </c>
      <c r="I220" s="178">
        <f t="shared" si="7"/>
        <v>0</v>
      </c>
      <c r="J220" s="109"/>
    </row>
    <row r="221" spans="1:10" hidden="1">
      <c r="A221" s="1558"/>
      <c r="B221" s="425"/>
      <c r="C221" s="578"/>
      <c r="D221" s="578"/>
      <c r="E221" s="580"/>
      <c r="F221" s="69"/>
      <c r="G221" s="69"/>
      <c r="H221" s="178">
        <f t="shared" si="6"/>
        <v>0</v>
      </c>
      <c r="I221" s="178">
        <f t="shared" si="7"/>
        <v>0</v>
      </c>
      <c r="J221" s="109"/>
    </row>
    <row r="222" spans="1:10" hidden="1">
      <c r="A222" s="1558"/>
      <c r="B222" s="425"/>
      <c r="C222" s="578"/>
      <c r="D222" s="578"/>
      <c r="E222" s="580"/>
      <c r="F222" s="69"/>
      <c r="G222" s="69"/>
      <c r="H222" s="178">
        <f t="shared" si="6"/>
        <v>0</v>
      </c>
      <c r="I222" s="178">
        <f t="shared" si="7"/>
        <v>0</v>
      </c>
      <c r="J222" s="109"/>
    </row>
    <row r="223" spans="1:10" hidden="1">
      <c r="A223" s="1558"/>
      <c r="B223" s="425"/>
      <c r="C223" s="578"/>
      <c r="D223" s="578"/>
      <c r="E223" s="580"/>
      <c r="F223" s="69"/>
      <c r="G223" s="69"/>
      <c r="H223" s="178">
        <f t="shared" si="6"/>
        <v>0</v>
      </c>
      <c r="I223" s="178">
        <f t="shared" si="7"/>
        <v>0</v>
      </c>
      <c r="J223" s="109"/>
    </row>
    <row r="224" spans="1:10" hidden="1">
      <c r="A224" s="1558"/>
      <c r="B224" s="427"/>
      <c r="C224" s="575"/>
      <c r="D224" s="575"/>
      <c r="E224" s="576"/>
      <c r="F224" s="69"/>
      <c r="G224" s="69"/>
      <c r="H224" s="178">
        <f t="shared" si="6"/>
        <v>0</v>
      </c>
      <c r="I224" s="178">
        <f t="shared" si="7"/>
        <v>0</v>
      </c>
      <c r="J224" s="109"/>
    </row>
    <row r="225" spans="1:10" hidden="1">
      <c r="A225" s="1558"/>
      <c r="B225" s="427"/>
      <c r="C225" s="575"/>
      <c r="D225" s="575"/>
      <c r="E225" s="576"/>
      <c r="F225" s="69"/>
      <c r="G225" s="69"/>
      <c r="H225" s="178">
        <f t="shared" si="6"/>
        <v>0</v>
      </c>
      <c r="I225" s="178">
        <f t="shared" si="7"/>
        <v>0</v>
      </c>
      <c r="J225" s="109"/>
    </row>
    <row r="226" spans="1:10" hidden="1">
      <c r="A226" s="1558"/>
      <c r="B226" s="427"/>
      <c r="C226" s="575"/>
      <c r="D226" s="575"/>
      <c r="E226" s="576"/>
      <c r="F226" s="69"/>
      <c r="G226" s="69"/>
      <c r="H226" s="178">
        <f t="shared" si="6"/>
        <v>0</v>
      </c>
      <c r="I226" s="178">
        <f t="shared" si="7"/>
        <v>0</v>
      </c>
      <c r="J226" s="109"/>
    </row>
    <row r="227" spans="1:10" hidden="1">
      <c r="A227" s="1558"/>
      <c r="B227" s="427"/>
      <c r="C227" s="575"/>
      <c r="D227" s="575"/>
      <c r="E227" s="576"/>
      <c r="F227" s="69"/>
      <c r="G227" s="69"/>
      <c r="H227" s="178">
        <f t="shared" si="6"/>
        <v>0</v>
      </c>
      <c r="I227" s="178">
        <f t="shared" si="7"/>
        <v>0</v>
      </c>
      <c r="J227" s="109"/>
    </row>
    <row r="228" spans="1:10" hidden="1">
      <c r="A228" s="1558"/>
      <c r="B228" s="427"/>
      <c r="C228" s="575"/>
      <c r="D228" s="575"/>
      <c r="E228" s="576"/>
      <c r="F228" s="69"/>
      <c r="G228" s="69"/>
      <c r="H228" s="178">
        <f t="shared" si="6"/>
        <v>0</v>
      </c>
      <c r="I228" s="178">
        <f t="shared" si="7"/>
        <v>0</v>
      </c>
      <c r="J228" s="109"/>
    </row>
    <row r="229" spans="1:10" hidden="1">
      <c r="A229" s="1558"/>
      <c r="B229" s="427"/>
      <c r="C229" s="575"/>
      <c r="D229" s="575"/>
      <c r="E229" s="576"/>
      <c r="F229" s="69"/>
      <c r="G229" s="69"/>
      <c r="H229" s="178">
        <f t="shared" si="6"/>
        <v>0</v>
      </c>
      <c r="I229" s="178">
        <f t="shared" si="7"/>
        <v>0</v>
      </c>
      <c r="J229" s="109"/>
    </row>
    <row r="230" spans="1:10" hidden="1">
      <c r="A230" s="1558"/>
      <c r="B230" s="427"/>
      <c r="C230" s="575"/>
      <c r="D230" s="575"/>
      <c r="E230" s="576"/>
      <c r="F230" s="69"/>
      <c r="G230" s="69"/>
      <c r="H230" s="178">
        <f t="shared" si="6"/>
        <v>0</v>
      </c>
      <c r="I230" s="178">
        <f t="shared" si="7"/>
        <v>0</v>
      </c>
      <c r="J230" s="109"/>
    </row>
    <row r="231" spans="1:10" hidden="1">
      <c r="A231" s="1558"/>
      <c r="B231" s="427"/>
      <c r="C231" s="575"/>
      <c r="D231" s="575"/>
      <c r="E231" s="576"/>
      <c r="F231" s="69"/>
      <c r="G231" s="69"/>
      <c r="H231" s="178">
        <f t="shared" si="6"/>
        <v>0</v>
      </c>
      <c r="I231" s="178">
        <f t="shared" si="7"/>
        <v>0</v>
      </c>
      <c r="J231" s="109"/>
    </row>
    <row r="232" spans="1:10" hidden="1">
      <c r="A232" s="1558"/>
      <c r="B232" s="427"/>
      <c r="C232" s="575"/>
      <c r="D232" s="575"/>
      <c r="E232" s="576"/>
      <c r="F232" s="69"/>
      <c r="G232" s="69"/>
      <c r="H232" s="178">
        <f t="shared" si="6"/>
        <v>0</v>
      </c>
      <c r="I232" s="178">
        <f t="shared" si="7"/>
        <v>0</v>
      </c>
      <c r="J232" s="109"/>
    </row>
    <row r="233" spans="1:10" hidden="1">
      <c r="A233" s="1558"/>
      <c r="B233" s="427"/>
      <c r="C233" s="575"/>
      <c r="D233" s="575"/>
      <c r="E233" s="576"/>
      <c r="F233" s="69"/>
      <c r="G233" s="69"/>
      <c r="H233" s="178">
        <f t="shared" si="6"/>
        <v>0</v>
      </c>
      <c r="I233" s="178">
        <f t="shared" si="7"/>
        <v>0</v>
      </c>
      <c r="J233" s="109"/>
    </row>
    <row r="234" spans="1:10" hidden="1">
      <c r="A234" s="1558"/>
      <c r="B234" s="427"/>
      <c r="C234" s="575"/>
      <c r="D234" s="575"/>
      <c r="E234" s="576"/>
      <c r="F234" s="69"/>
      <c r="G234" s="69"/>
      <c r="H234" s="178">
        <f t="shared" si="6"/>
        <v>0</v>
      </c>
      <c r="I234" s="178">
        <f t="shared" si="7"/>
        <v>0</v>
      </c>
      <c r="J234" s="109"/>
    </row>
    <row r="235" spans="1:10" hidden="1">
      <c r="A235" s="1558"/>
      <c r="B235" s="427"/>
      <c r="C235" s="575"/>
      <c r="D235" s="575"/>
      <c r="E235" s="576"/>
      <c r="F235" s="69"/>
      <c r="G235" s="69"/>
      <c r="H235" s="178">
        <f t="shared" si="6"/>
        <v>0</v>
      </c>
      <c r="I235" s="178">
        <f t="shared" si="7"/>
        <v>0</v>
      </c>
      <c r="J235" s="109"/>
    </row>
    <row r="236" spans="1:10" hidden="1">
      <c r="A236" s="1558"/>
      <c r="B236" s="427"/>
      <c r="C236" s="575"/>
      <c r="D236" s="575"/>
      <c r="E236" s="576"/>
      <c r="F236" s="69"/>
      <c r="G236" s="69"/>
      <c r="H236" s="178">
        <f t="shared" si="6"/>
        <v>0</v>
      </c>
      <c r="I236" s="178">
        <f t="shared" si="7"/>
        <v>0</v>
      </c>
      <c r="J236" s="109"/>
    </row>
    <row r="237" spans="1:10" hidden="1">
      <c r="A237" s="1558"/>
      <c r="B237" s="427"/>
      <c r="C237" s="575"/>
      <c r="D237" s="575"/>
      <c r="E237" s="576"/>
      <c r="F237" s="69"/>
      <c r="G237" s="69"/>
      <c r="H237" s="178">
        <f t="shared" si="6"/>
        <v>0</v>
      </c>
      <c r="I237" s="178">
        <f t="shared" si="7"/>
        <v>0</v>
      </c>
      <c r="J237" s="109"/>
    </row>
    <row r="238" spans="1:10" hidden="1">
      <c r="A238" s="1558"/>
      <c r="B238" s="427"/>
      <c r="C238" s="575"/>
      <c r="D238" s="575"/>
      <c r="E238" s="576"/>
      <c r="F238" s="69"/>
      <c r="G238" s="69"/>
      <c r="H238" s="178">
        <f t="shared" si="6"/>
        <v>0</v>
      </c>
      <c r="I238" s="178">
        <f t="shared" si="7"/>
        <v>0</v>
      </c>
      <c r="J238" s="109"/>
    </row>
    <row r="239" spans="1:10" hidden="1">
      <c r="A239" s="1558"/>
      <c r="B239" s="427"/>
      <c r="C239" s="575"/>
      <c r="D239" s="575"/>
      <c r="E239" s="576"/>
      <c r="F239" s="69"/>
      <c r="G239" s="69"/>
      <c r="H239" s="178">
        <f t="shared" si="6"/>
        <v>0</v>
      </c>
      <c r="I239" s="178">
        <f t="shared" si="7"/>
        <v>0</v>
      </c>
      <c r="J239" s="109"/>
    </row>
    <row r="240" spans="1:10" hidden="1">
      <c r="A240" s="1558"/>
      <c r="B240" s="425"/>
      <c r="C240" s="561"/>
      <c r="D240" s="561"/>
      <c r="E240" s="561"/>
      <c r="F240" s="69"/>
      <c r="G240" s="69"/>
      <c r="H240" s="178">
        <f t="shared" si="6"/>
        <v>0</v>
      </c>
      <c r="I240" s="178">
        <f t="shared" si="7"/>
        <v>0</v>
      </c>
      <c r="J240" s="109"/>
    </row>
    <row r="241" spans="1:11" hidden="1">
      <c r="A241" s="1558"/>
      <c r="B241" s="425"/>
      <c r="C241" s="493"/>
      <c r="D241" s="493"/>
      <c r="E241" s="493"/>
      <c r="F241" s="69"/>
      <c r="G241" s="69"/>
      <c r="H241" s="178">
        <f t="shared" si="6"/>
        <v>0</v>
      </c>
      <c r="I241" s="178">
        <f t="shared" si="7"/>
        <v>0</v>
      </c>
      <c r="J241" s="109"/>
    </row>
    <row r="242" spans="1:11" hidden="1">
      <c r="A242" s="1558"/>
      <c r="B242" s="425"/>
      <c r="C242" s="493"/>
      <c r="D242" s="493"/>
      <c r="E242" s="493"/>
      <c r="F242" s="69"/>
      <c r="G242" s="69"/>
      <c r="H242" s="178">
        <f t="shared" si="6"/>
        <v>0</v>
      </c>
      <c r="I242" s="178">
        <f t="shared" si="7"/>
        <v>0</v>
      </c>
      <c r="J242" s="109"/>
    </row>
    <row r="243" spans="1:11" hidden="1">
      <c r="A243" s="1558"/>
      <c r="B243" s="425"/>
      <c r="C243" s="493"/>
      <c r="D243" s="493"/>
      <c r="E243" s="493"/>
      <c r="F243" s="69"/>
      <c r="G243" s="69"/>
      <c r="H243" s="178">
        <f t="shared" si="6"/>
        <v>0</v>
      </c>
      <c r="I243" s="178">
        <f t="shared" si="7"/>
        <v>0</v>
      </c>
      <c r="J243" s="109"/>
    </row>
    <row r="244" spans="1:11" hidden="1">
      <c r="A244" s="1558"/>
      <c r="B244" s="209" t="s">
        <v>985</v>
      </c>
      <c r="C244" s="581">
        <f>SUM(C202:C243)</f>
        <v>0</v>
      </c>
      <c r="D244" s="581">
        <f>SUM(D202:D243)</f>
        <v>0</v>
      </c>
      <c r="E244" s="581">
        <f>SUM(E202:E243)</f>
        <v>0</v>
      </c>
      <c r="F244" s="117"/>
      <c r="G244" s="117"/>
      <c r="H244" s="178">
        <f t="shared" si="6"/>
        <v>0</v>
      </c>
      <c r="I244" s="178">
        <f t="shared" si="7"/>
        <v>0</v>
      </c>
      <c r="J244" s="109"/>
    </row>
    <row r="245" spans="1:11" s="92" customFormat="1" ht="93.75">
      <c r="A245" s="1566" t="s">
        <v>1143</v>
      </c>
      <c r="B245" s="1175" t="s">
        <v>1266</v>
      </c>
      <c r="C245" s="1176">
        <v>11000</v>
      </c>
      <c r="D245" s="1176"/>
      <c r="E245" s="1176">
        <v>11000</v>
      </c>
      <c r="F245" s="1191"/>
      <c r="G245" s="1191"/>
      <c r="H245" s="1436">
        <f t="shared" si="6"/>
        <v>0</v>
      </c>
      <c r="I245" s="1436">
        <f t="shared" si="7"/>
        <v>22000</v>
      </c>
      <c r="J245" s="1439"/>
      <c r="K245" s="1440"/>
    </row>
    <row r="246" spans="1:11" s="92" customFormat="1" ht="93.75">
      <c r="A246" s="1566"/>
      <c r="B246" s="530" t="s">
        <v>2090</v>
      </c>
      <c r="C246" s="529">
        <v>42000</v>
      </c>
      <c r="D246" s="529"/>
      <c r="E246" s="529">
        <v>42000</v>
      </c>
      <c r="F246" s="208"/>
      <c r="G246" s="208"/>
      <c r="H246" s="1436">
        <f t="shared" si="6"/>
        <v>0</v>
      </c>
      <c r="I246" s="1436">
        <f t="shared" si="7"/>
        <v>84000</v>
      </c>
      <c r="J246" s="1439"/>
      <c r="K246" s="1440"/>
    </row>
    <row r="247" spans="1:11" s="92" customFormat="1" hidden="1">
      <c r="A247" s="1566"/>
      <c r="B247" s="541"/>
      <c r="C247" s="586"/>
      <c r="D247" s="586"/>
      <c r="E247" s="586"/>
      <c r="F247" s="208"/>
      <c r="G247" s="208"/>
      <c r="H247" s="178">
        <f t="shared" si="6"/>
        <v>0</v>
      </c>
      <c r="I247" s="178">
        <f t="shared" si="7"/>
        <v>0</v>
      </c>
      <c r="J247" s="109"/>
    </row>
    <row r="248" spans="1:11" s="92" customFormat="1" hidden="1">
      <c r="A248" s="1566"/>
      <c r="B248" s="425"/>
      <c r="C248" s="561"/>
      <c r="D248" s="561"/>
      <c r="E248" s="561"/>
      <c r="F248" s="208"/>
      <c r="G248" s="208"/>
      <c r="H248" s="178">
        <f t="shared" si="6"/>
        <v>0</v>
      </c>
      <c r="I248" s="178">
        <f t="shared" si="7"/>
        <v>0</v>
      </c>
      <c r="J248" s="109"/>
    </row>
    <row r="249" spans="1:11" s="92" customFormat="1" hidden="1">
      <c r="A249" s="1566"/>
      <c r="B249" s="425"/>
      <c r="C249" s="561"/>
      <c r="D249" s="561"/>
      <c r="E249" s="561"/>
      <c r="F249" s="208"/>
      <c r="G249" s="208"/>
      <c r="H249" s="178">
        <f t="shared" si="6"/>
        <v>0</v>
      </c>
      <c r="I249" s="178">
        <f t="shared" si="7"/>
        <v>0</v>
      </c>
      <c r="J249" s="109"/>
    </row>
    <row r="250" spans="1:11" s="92" customFormat="1" hidden="1">
      <c r="A250" s="1566"/>
      <c r="B250" s="425"/>
      <c r="C250" s="561"/>
      <c r="D250" s="561"/>
      <c r="E250" s="561"/>
      <c r="F250" s="208"/>
      <c r="G250" s="208"/>
      <c r="H250" s="178">
        <f t="shared" si="6"/>
        <v>0</v>
      </c>
      <c r="I250" s="178">
        <f t="shared" si="7"/>
        <v>0</v>
      </c>
      <c r="J250" s="109"/>
    </row>
    <row r="251" spans="1:11" s="92" customFormat="1" hidden="1">
      <c r="A251" s="1566"/>
      <c r="B251" s="425"/>
      <c r="C251" s="561"/>
      <c r="D251" s="561"/>
      <c r="E251" s="561"/>
      <c r="F251" s="208"/>
      <c r="G251" s="208"/>
      <c r="H251" s="178">
        <f t="shared" si="6"/>
        <v>0</v>
      </c>
      <c r="I251" s="178">
        <f t="shared" si="7"/>
        <v>0</v>
      </c>
      <c r="J251" s="109"/>
    </row>
    <row r="252" spans="1:11" s="92" customFormat="1" hidden="1">
      <c r="A252" s="1566"/>
      <c r="B252" s="425"/>
      <c r="C252" s="561"/>
      <c r="D252" s="561"/>
      <c r="E252" s="561"/>
      <c r="F252" s="208"/>
      <c r="G252" s="208"/>
      <c r="H252" s="178">
        <f t="shared" si="6"/>
        <v>0</v>
      </c>
      <c r="I252" s="178">
        <f t="shared" si="7"/>
        <v>0</v>
      </c>
      <c r="J252" s="109"/>
    </row>
    <row r="253" spans="1:11" s="92" customFormat="1" hidden="1">
      <c r="A253" s="1566"/>
      <c r="B253" s="425"/>
      <c r="C253" s="561"/>
      <c r="D253" s="561"/>
      <c r="E253" s="561"/>
      <c r="F253" s="208"/>
      <c r="G253" s="208"/>
      <c r="H253" s="178">
        <f t="shared" si="6"/>
        <v>0</v>
      </c>
      <c r="I253" s="178">
        <f t="shared" si="7"/>
        <v>0</v>
      </c>
      <c r="J253" s="109"/>
    </row>
    <row r="254" spans="1:11" s="92" customFormat="1" hidden="1">
      <c r="A254" s="1566"/>
      <c r="B254" s="425"/>
      <c r="C254" s="561"/>
      <c r="D254" s="561"/>
      <c r="E254" s="561"/>
      <c r="F254" s="208"/>
      <c r="G254" s="208"/>
      <c r="H254" s="178">
        <f t="shared" si="6"/>
        <v>0</v>
      </c>
      <c r="I254" s="178">
        <f t="shared" si="7"/>
        <v>0</v>
      </c>
      <c r="J254" s="109"/>
    </row>
    <row r="255" spans="1:11" s="92" customFormat="1" hidden="1">
      <c r="A255" s="1566"/>
      <c r="B255" s="425"/>
      <c r="C255" s="561"/>
      <c r="D255" s="561"/>
      <c r="E255" s="561"/>
      <c r="F255" s="208"/>
      <c r="G255" s="208"/>
      <c r="H255" s="178">
        <f t="shared" si="6"/>
        <v>0</v>
      </c>
      <c r="I255" s="178">
        <f t="shared" si="7"/>
        <v>0</v>
      </c>
      <c r="J255" s="109"/>
    </row>
    <row r="256" spans="1:11" s="92" customFormat="1" hidden="1">
      <c r="A256" s="1566"/>
      <c r="B256" s="425"/>
      <c r="C256" s="561"/>
      <c r="D256" s="561"/>
      <c r="E256" s="561"/>
      <c r="F256" s="208"/>
      <c r="G256" s="208"/>
      <c r="H256" s="178">
        <f t="shared" si="6"/>
        <v>0</v>
      </c>
      <c r="I256" s="178">
        <f t="shared" si="7"/>
        <v>0</v>
      </c>
      <c r="J256" s="109"/>
    </row>
    <row r="257" spans="1:10" s="92" customFormat="1" hidden="1">
      <c r="A257" s="1566"/>
      <c r="B257" s="425"/>
      <c r="C257" s="561"/>
      <c r="D257" s="561"/>
      <c r="E257" s="561"/>
      <c r="F257" s="208"/>
      <c r="G257" s="208"/>
      <c r="H257" s="178">
        <f t="shared" si="6"/>
        <v>0</v>
      </c>
      <c r="I257" s="178">
        <f t="shared" si="7"/>
        <v>0</v>
      </c>
      <c r="J257" s="109"/>
    </row>
    <row r="258" spans="1:10" s="92" customFormat="1" hidden="1">
      <c r="A258" s="1566"/>
      <c r="B258" s="425"/>
      <c r="C258" s="561"/>
      <c r="D258" s="561"/>
      <c r="E258" s="561"/>
      <c r="F258" s="208"/>
      <c r="G258" s="208"/>
      <c r="H258" s="178">
        <f t="shared" si="6"/>
        <v>0</v>
      </c>
      <c r="I258" s="178">
        <f t="shared" si="7"/>
        <v>0</v>
      </c>
      <c r="J258" s="109"/>
    </row>
    <row r="259" spans="1:10" s="92" customFormat="1" hidden="1">
      <c r="A259" s="1566"/>
      <c r="B259" s="425"/>
      <c r="C259" s="561"/>
      <c r="D259" s="561"/>
      <c r="E259" s="561"/>
      <c r="F259" s="208"/>
      <c r="G259" s="208"/>
      <c r="H259" s="178">
        <f t="shared" si="6"/>
        <v>0</v>
      </c>
      <c r="I259" s="178">
        <f t="shared" si="7"/>
        <v>0</v>
      </c>
      <c r="J259" s="109"/>
    </row>
    <row r="260" spans="1:10" s="92" customFormat="1" hidden="1">
      <c r="A260" s="1566"/>
      <c r="B260" s="425"/>
      <c r="C260" s="493"/>
      <c r="D260" s="493"/>
      <c r="E260" s="493"/>
      <c r="F260" s="208"/>
      <c r="G260" s="208"/>
      <c r="H260" s="178">
        <f t="shared" si="6"/>
        <v>0</v>
      </c>
      <c r="I260" s="178">
        <f t="shared" si="7"/>
        <v>0</v>
      </c>
      <c r="J260" s="109"/>
    </row>
    <row r="261" spans="1:10" s="92" customFormat="1" hidden="1">
      <c r="A261" s="1566"/>
      <c r="B261" s="425"/>
      <c r="C261" s="493"/>
      <c r="D261" s="493"/>
      <c r="E261" s="493"/>
      <c r="F261" s="208"/>
      <c r="G261" s="208"/>
      <c r="H261" s="178">
        <f t="shared" si="6"/>
        <v>0</v>
      </c>
      <c r="I261" s="178">
        <f t="shared" si="7"/>
        <v>0</v>
      </c>
      <c r="J261" s="109"/>
    </row>
    <row r="262" spans="1:10" s="92" customFormat="1" hidden="1">
      <c r="A262" s="1566"/>
      <c r="B262" s="425"/>
      <c r="C262" s="561"/>
      <c r="D262" s="561"/>
      <c r="E262" s="561"/>
      <c r="F262" s="208"/>
      <c r="G262" s="208"/>
      <c r="H262" s="178">
        <f t="shared" si="6"/>
        <v>0</v>
      </c>
      <c r="I262" s="178">
        <f t="shared" si="7"/>
        <v>0</v>
      </c>
      <c r="J262" s="109"/>
    </row>
    <row r="263" spans="1:10" s="92" customFormat="1" hidden="1">
      <c r="A263" s="1566"/>
      <c r="B263" s="425"/>
      <c r="C263" s="561"/>
      <c r="D263" s="561"/>
      <c r="E263" s="561"/>
      <c r="F263" s="208"/>
      <c r="G263" s="208"/>
      <c r="H263" s="178">
        <f t="shared" si="6"/>
        <v>0</v>
      </c>
      <c r="I263" s="178">
        <f t="shared" si="7"/>
        <v>0</v>
      </c>
      <c r="J263" s="109"/>
    </row>
    <row r="264" spans="1:10" s="92" customFormat="1" hidden="1">
      <c r="A264" s="1566"/>
      <c r="B264" s="425"/>
      <c r="C264" s="561"/>
      <c r="D264" s="561"/>
      <c r="E264" s="561"/>
      <c r="F264" s="208"/>
      <c r="G264" s="208"/>
      <c r="H264" s="178">
        <f t="shared" si="6"/>
        <v>0</v>
      </c>
      <c r="I264" s="178">
        <f t="shared" si="7"/>
        <v>0</v>
      </c>
      <c r="J264" s="109"/>
    </row>
    <row r="265" spans="1:10" s="92" customFormat="1" hidden="1">
      <c r="A265" s="1566"/>
      <c r="B265" s="425"/>
      <c r="C265" s="561"/>
      <c r="D265" s="561"/>
      <c r="E265" s="493"/>
      <c r="F265" s="208"/>
      <c r="G265" s="208"/>
      <c r="H265" s="178">
        <f t="shared" ref="H265:H328" si="8">E265+D265-C265</f>
        <v>0</v>
      </c>
      <c r="I265" s="178">
        <f t="shared" ref="I265:I328" si="9">SUM(C265:E265)</f>
        <v>0</v>
      </c>
      <c r="J265" s="109"/>
    </row>
    <row r="266" spans="1:10" s="92" customFormat="1" hidden="1">
      <c r="A266" s="1566"/>
      <c r="B266" s="425"/>
      <c r="C266" s="561"/>
      <c r="D266" s="561"/>
      <c r="E266" s="577"/>
      <c r="F266" s="208"/>
      <c r="G266" s="208"/>
      <c r="H266" s="178">
        <f t="shared" si="8"/>
        <v>0</v>
      </c>
      <c r="I266" s="178">
        <f t="shared" si="9"/>
        <v>0</v>
      </c>
      <c r="J266" s="109"/>
    </row>
    <row r="267" spans="1:10" s="92" customFormat="1" hidden="1">
      <c r="A267" s="1566"/>
      <c r="B267" s="425"/>
      <c r="C267" s="561"/>
      <c r="D267" s="561"/>
      <c r="E267" s="577"/>
      <c r="F267" s="208"/>
      <c r="G267" s="208"/>
      <c r="H267" s="178">
        <f t="shared" si="8"/>
        <v>0</v>
      </c>
      <c r="I267" s="178">
        <f t="shared" si="9"/>
        <v>0</v>
      </c>
      <c r="J267" s="109"/>
    </row>
    <row r="268" spans="1:10" s="92" customFormat="1" hidden="1">
      <c r="A268" s="1566"/>
      <c r="B268" s="425"/>
      <c r="C268" s="561"/>
      <c r="D268" s="561"/>
      <c r="E268" s="577"/>
      <c r="F268" s="208"/>
      <c r="G268" s="208"/>
      <c r="H268" s="178">
        <f t="shared" si="8"/>
        <v>0</v>
      </c>
      <c r="I268" s="178">
        <f t="shared" si="9"/>
        <v>0</v>
      </c>
      <c r="J268" s="109"/>
    </row>
    <row r="269" spans="1:10" s="92" customFormat="1" hidden="1">
      <c r="A269" s="1566"/>
      <c r="B269" s="425"/>
      <c r="C269" s="561"/>
      <c r="D269" s="561"/>
      <c r="E269" s="577"/>
      <c r="F269" s="208"/>
      <c r="G269" s="208"/>
      <c r="H269" s="178">
        <f t="shared" si="8"/>
        <v>0</v>
      </c>
      <c r="I269" s="178">
        <f t="shared" si="9"/>
        <v>0</v>
      </c>
      <c r="J269" s="109"/>
    </row>
    <row r="270" spans="1:10" s="92" customFormat="1" hidden="1">
      <c r="A270" s="1566"/>
      <c r="B270" s="425"/>
      <c r="C270" s="561"/>
      <c r="D270" s="561"/>
      <c r="E270" s="577"/>
      <c r="F270" s="208"/>
      <c r="G270" s="208"/>
      <c r="H270" s="178">
        <f t="shared" si="8"/>
        <v>0</v>
      </c>
      <c r="I270" s="178">
        <f t="shared" si="9"/>
        <v>0</v>
      </c>
      <c r="J270" s="109"/>
    </row>
    <row r="271" spans="1:10" s="92" customFormat="1" hidden="1">
      <c r="A271" s="1566"/>
      <c r="B271" s="425"/>
      <c r="C271" s="578"/>
      <c r="D271" s="578"/>
      <c r="E271" s="580"/>
      <c r="F271" s="208"/>
      <c r="G271" s="208"/>
      <c r="H271" s="178">
        <f t="shared" si="8"/>
        <v>0</v>
      </c>
      <c r="I271" s="178">
        <f t="shared" si="9"/>
        <v>0</v>
      </c>
      <c r="J271" s="109"/>
    </row>
    <row r="272" spans="1:10" s="92" customFormat="1" hidden="1">
      <c r="A272" s="1566"/>
      <c r="B272" s="425"/>
      <c r="C272" s="578"/>
      <c r="D272" s="578"/>
      <c r="E272" s="580"/>
      <c r="F272" s="208"/>
      <c r="G272" s="208"/>
      <c r="H272" s="178">
        <f t="shared" si="8"/>
        <v>0</v>
      </c>
      <c r="I272" s="178">
        <f t="shared" si="9"/>
        <v>0</v>
      </c>
      <c r="J272" s="109"/>
    </row>
    <row r="273" spans="1:10" s="92" customFormat="1" hidden="1">
      <c r="A273" s="1566"/>
      <c r="B273" s="425"/>
      <c r="C273" s="578"/>
      <c r="D273" s="578"/>
      <c r="E273" s="580"/>
      <c r="F273" s="208"/>
      <c r="G273" s="208"/>
      <c r="H273" s="178">
        <f t="shared" si="8"/>
        <v>0</v>
      </c>
      <c r="I273" s="178">
        <f t="shared" si="9"/>
        <v>0</v>
      </c>
      <c r="J273" s="109"/>
    </row>
    <row r="274" spans="1:10" s="92" customFormat="1" hidden="1">
      <c r="A274" s="1566"/>
      <c r="B274" s="425"/>
      <c r="C274" s="578"/>
      <c r="D274" s="578"/>
      <c r="E274" s="580"/>
      <c r="F274" s="208"/>
      <c r="G274" s="208"/>
      <c r="H274" s="178">
        <f t="shared" si="8"/>
        <v>0</v>
      </c>
      <c r="I274" s="178">
        <f t="shared" si="9"/>
        <v>0</v>
      </c>
      <c r="J274" s="109"/>
    </row>
    <row r="275" spans="1:10" s="92" customFormat="1" hidden="1">
      <c r="A275" s="1566"/>
      <c r="B275" s="425"/>
      <c r="C275" s="578"/>
      <c r="D275" s="578"/>
      <c r="E275" s="580"/>
      <c r="F275" s="208"/>
      <c r="G275" s="208"/>
      <c r="H275" s="178">
        <f t="shared" si="8"/>
        <v>0</v>
      </c>
      <c r="I275" s="178">
        <f t="shared" si="9"/>
        <v>0</v>
      </c>
      <c r="J275" s="109"/>
    </row>
    <row r="276" spans="1:10" s="92" customFormat="1" hidden="1">
      <c r="A276" s="1566"/>
      <c r="B276" s="425"/>
      <c r="C276" s="578"/>
      <c r="D276" s="578"/>
      <c r="E276" s="580"/>
      <c r="F276" s="208"/>
      <c r="G276" s="208"/>
      <c r="H276" s="178">
        <f t="shared" si="8"/>
        <v>0</v>
      </c>
      <c r="I276" s="178">
        <f t="shared" si="9"/>
        <v>0</v>
      </c>
      <c r="J276" s="109"/>
    </row>
    <row r="277" spans="1:10" s="92" customFormat="1" hidden="1">
      <c r="A277" s="1566"/>
      <c r="B277" s="425"/>
      <c r="C277" s="578"/>
      <c r="D277" s="578"/>
      <c r="E277" s="580"/>
      <c r="F277" s="208"/>
      <c r="G277" s="208"/>
      <c r="H277" s="178">
        <f t="shared" si="8"/>
        <v>0</v>
      </c>
      <c r="I277" s="178">
        <f t="shared" si="9"/>
        <v>0</v>
      </c>
      <c r="J277" s="109"/>
    </row>
    <row r="278" spans="1:10" s="92" customFormat="1" hidden="1">
      <c r="A278" s="1566"/>
      <c r="B278" s="425"/>
      <c r="C278" s="578"/>
      <c r="D278" s="578"/>
      <c r="E278" s="580"/>
      <c r="F278" s="208"/>
      <c r="G278" s="208"/>
      <c r="H278" s="178">
        <f t="shared" si="8"/>
        <v>0</v>
      </c>
      <c r="I278" s="178">
        <f t="shared" si="9"/>
        <v>0</v>
      </c>
      <c r="J278" s="109"/>
    </row>
    <row r="279" spans="1:10" s="92" customFormat="1" hidden="1">
      <c r="A279" s="1566"/>
      <c r="B279" s="425"/>
      <c r="C279" s="578"/>
      <c r="D279" s="578"/>
      <c r="E279" s="580"/>
      <c r="F279" s="208"/>
      <c r="G279" s="208"/>
      <c r="H279" s="178">
        <f t="shared" si="8"/>
        <v>0</v>
      </c>
      <c r="I279" s="178">
        <f t="shared" si="9"/>
        <v>0</v>
      </c>
      <c r="J279" s="109"/>
    </row>
    <row r="280" spans="1:10" s="92" customFormat="1" hidden="1">
      <c r="A280" s="1566"/>
      <c r="B280" s="425"/>
      <c r="C280" s="578"/>
      <c r="D280" s="578"/>
      <c r="E280" s="580"/>
      <c r="F280" s="208"/>
      <c r="G280" s="208"/>
      <c r="H280" s="178">
        <f t="shared" si="8"/>
        <v>0</v>
      </c>
      <c r="I280" s="178">
        <f t="shared" si="9"/>
        <v>0</v>
      </c>
      <c r="J280" s="109"/>
    </row>
    <row r="281" spans="1:10" s="92" customFormat="1" hidden="1">
      <c r="A281" s="1566"/>
      <c r="B281" s="425"/>
      <c r="C281" s="578"/>
      <c r="D281" s="578"/>
      <c r="E281" s="580"/>
      <c r="F281" s="208"/>
      <c r="G281" s="208"/>
      <c r="H281" s="178">
        <f t="shared" si="8"/>
        <v>0</v>
      </c>
      <c r="I281" s="178">
        <f t="shared" si="9"/>
        <v>0</v>
      </c>
      <c r="J281" s="109"/>
    </row>
    <row r="282" spans="1:10" s="92" customFormat="1" hidden="1">
      <c r="A282" s="1566"/>
      <c r="B282" s="425"/>
      <c r="C282" s="578"/>
      <c r="D282" s="578"/>
      <c r="E282" s="580"/>
      <c r="F282" s="208"/>
      <c r="G282" s="208"/>
      <c r="H282" s="178">
        <f t="shared" si="8"/>
        <v>0</v>
      </c>
      <c r="I282" s="178">
        <f t="shared" si="9"/>
        <v>0</v>
      </c>
      <c r="J282" s="109"/>
    </row>
    <row r="283" spans="1:10" s="92" customFormat="1" hidden="1">
      <c r="A283" s="1566"/>
      <c r="B283" s="425"/>
      <c r="C283" s="578"/>
      <c r="D283" s="578"/>
      <c r="E283" s="580"/>
      <c r="F283" s="208"/>
      <c r="G283" s="208"/>
      <c r="H283" s="178">
        <f t="shared" si="8"/>
        <v>0</v>
      </c>
      <c r="I283" s="178">
        <f t="shared" si="9"/>
        <v>0</v>
      </c>
      <c r="J283" s="109"/>
    </row>
    <row r="284" spans="1:10" s="92" customFormat="1" hidden="1">
      <c r="A284" s="1566"/>
      <c r="B284" s="425"/>
      <c r="C284" s="578"/>
      <c r="D284" s="578"/>
      <c r="E284" s="580"/>
      <c r="F284" s="208"/>
      <c r="G284" s="208"/>
      <c r="H284" s="178">
        <f t="shared" si="8"/>
        <v>0</v>
      </c>
      <c r="I284" s="178">
        <f t="shared" si="9"/>
        <v>0</v>
      </c>
      <c r="J284" s="109"/>
    </row>
    <row r="285" spans="1:10" s="92" customFormat="1" hidden="1">
      <c r="A285" s="1566"/>
      <c r="B285" s="425"/>
      <c r="C285" s="578"/>
      <c r="D285" s="578"/>
      <c r="E285" s="580"/>
      <c r="F285" s="208"/>
      <c r="G285" s="208"/>
      <c r="H285" s="178">
        <f t="shared" si="8"/>
        <v>0</v>
      </c>
      <c r="I285" s="178">
        <f t="shared" si="9"/>
        <v>0</v>
      </c>
      <c r="J285" s="109"/>
    </row>
    <row r="286" spans="1:10" s="92" customFormat="1" hidden="1">
      <c r="A286" s="1566"/>
      <c r="B286" s="425"/>
      <c r="C286" s="578"/>
      <c r="D286" s="578"/>
      <c r="E286" s="580"/>
      <c r="F286" s="208"/>
      <c r="G286" s="208"/>
      <c r="H286" s="178">
        <f t="shared" si="8"/>
        <v>0</v>
      </c>
      <c r="I286" s="178">
        <f t="shared" si="9"/>
        <v>0</v>
      </c>
      <c r="J286" s="109"/>
    </row>
    <row r="287" spans="1:10" s="92" customFormat="1" hidden="1">
      <c r="A287" s="1566"/>
      <c r="B287" s="425"/>
      <c r="C287" s="578"/>
      <c r="D287" s="578"/>
      <c r="E287" s="580"/>
      <c r="F287" s="208"/>
      <c r="G287" s="208"/>
      <c r="H287" s="178">
        <f t="shared" si="8"/>
        <v>0</v>
      </c>
      <c r="I287" s="178">
        <f t="shared" si="9"/>
        <v>0</v>
      </c>
      <c r="J287" s="109"/>
    </row>
    <row r="288" spans="1:10" s="92" customFormat="1" hidden="1">
      <c r="A288" s="1566"/>
      <c r="B288" s="425"/>
      <c r="C288" s="493"/>
      <c r="D288" s="493"/>
      <c r="E288" s="493"/>
      <c r="F288" s="208"/>
      <c r="G288" s="208"/>
      <c r="H288" s="178">
        <f t="shared" si="8"/>
        <v>0</v>
      </c>
      <c r="I288" s="178">
        <f t="shared" si="9"/>
        <v>0</v>
      </c>
      <c r="J288" s="109"/>
    </row>
    <row r="289" spans="1:11" s="92" customFormat="1" hidden="1">
      <c r="A289" s="1566"/>
      <c r="B289" s="425"/>
      <c r="C289" s="577"/>
      <c r="D289" s="577"/>
      <c r="E289" s="577"/>
      <c r="F289" s="208"/>
      <c r="G289" s="208"/>
      <c r="H289" s="178">
        <f t="shared" si="8"/>
        <v>0</v>
      </c>
      <c r="I289" s="178">
        <f t="shared" si="9"/>
        <v>0</v>
      </c>
      <c r="J289" s="109"/>
    </row>
    <row r="290" spans="1:11" s="92" customFormat="1" hidden="1">
      <c r="A290" s="1566"/>
      <c r="B290" s="425"/>
      <c r="C290" s="577"/>
      <c r="D290" s="577"/>
      <c r="E290" s="577"/>
      <c r="F290" s="208"/>
      <c r="G290" s="208"/>
      <c r="H290" s="178">
        <f t="shared" si="8"/>
        <v>0</v>
      </c>
      <c r="I290" s="178">
        <f t="shared" si="9"/>
        <v>0</v>
      </c>
      <c r="J290" s="109"/>
    </row>
    <row r="291" spans="1:11" s="92" customFormat="1" hidden="1">
      <c r="A291" s="1566"/>
      <c r="B291" s="425"/>
      <c r="C291" s="561"/>
      <c r="D291" s="561"/>
      <c r="E291" s="561"/>
      <c r="F291" s="208"/>
      <c r="G291" s="208"/>
      <c r="H291" s="178">
        <f t="shared" si="8"/>
        <v>0</v>
      </c>
      <c r="I291" s="178">
        <f t="shared" si="9"/>
        <v>0</v>
      </c>
      <c r="J291" s="109"/>
    </row>
    <row r="292" spans="1:11" s="92" customFormat="1" hidden="1">
      <c r="A292" s="1566"/>
      <c r="B292" s="425"/>
      <c r="C292" s="561"/>
      <c r="D292" s="561"/>
      <c r="E292" s="561"/>
      <c r="F292" s="208"/>
      <c r="G292" s="208"/>
      <c r="H292" s="178">
        <f t="shared" si="8"/>
        <v>0</v>
      </c>
      <c r="I292" s="178">
        <f t="shared" si="9"/>
        <v>0</v>
      </c>
      <c r="J292" s="109"/>
    </row>
    <row r="293" spans="1:11" s="92" customFormat="1" hidden="1">
      <c r="A293" s="1566"/>
      <c r="B293" s="425"/>
      <c r="C293" s="561"/>
      <c r="D293" s="561"/>
      <c r="E293" s="561"/>
      <c r="F293" s="208"/>
      <c r="G293" s="208"/>
      <c r="H293" s="178">
        <f t="shared" si="8"/>
        <v>0</v>
      </c>
      <c r="I293" s="178">
        <f t="shared" si="9"/>
        <v>0</v>
      </c>
      <c r="J293" s="109"/>
    </row>
    <row r="294" spans="1:11" s="92" customFormat="1" hidden="1">
      <c r="A294" s="1566"/>
      <c r="B294" s="425"/>
      <c r="C294" s="561"/>
      <c r="D294" s="561"/>
      <c r="E294" s="561"/>
      <c r="F294" s="208"/>
      <c r="G294" s="208"/>
      <c r="H294" s="178">
        <f t="shared" si="8"/>
        <v>0</v>
      </c>
      <c r="I294" s="178">
        <f t="shared" si="9"/>
        <v>0</v>
      </c>
      <c r="J294" s="109"/>
    </row>
    <row r="295" spans="1:11" s="92" customFormat="1" hidden="1">
      <c r="A295" s="1566"/>
      <c r="B295" s="425"/>
      <c r="C295" s="561"/>
      <c r="D295" s="561"/>
      <c r="E295" s="561"/>
      <c r="F295" s="208"/>
      <c r="G295" s="208"/>
      <c r="H295" s="178">
        <f t="shared" si="8"/>
        <v>0</v>
      </c>
      <c r="I295" s="178">
        <f t="shared" si="9"/>
        <v>0</v>
      </c>
      <c r="J295" s="109"/>
    </row>
    <row r="296" spans="1:11" s="92" customFormat="1" hidden="1">
      <c r="A296" s="1566"/>
      <c r="B296" s="425"/>
      <c r="C296" s="561"/>
      <c r="D296" s="561"/>
      <c r="E296" s="561"/>
      <c r="F296" s="208"/>
      <c r="G296" s="208"/>
      <c r="H296" s="178">
        <f t="shared" si="8"/>
        <v>0</v>
      </c>
      <c r="I296" s="178">
        <f t="shared" si="9"/>
        <v>0</v>
      </c>
      <c r="J296" s="109"/>
    </row>
    <row r="297" spans="1:11" s="92" customFormat="1">
      <c r="A297" s="1566"/>
      <c r="B297" s="209" t="s">
        <v>985</v>
      </c>
      <c r="C297" s="581">
        <f>SUM(C245:C296)</f>
        <v>53000</v>
      </c>
      <c r="D297" s="581">
        <f>SUM(D245:D296)</f>
        <v>0</v>
      </c>
      <c r="E297" s="581">
        <f>SUM(E245:E296)</f>
        <v>53000</v>
      </c>
      <c r="F297" s="332">
        <f>SUM(F245:F259)</f>
        <v>0</v>
      </c>
      <c r="G297" s="332">
        <f>SUM(G245:G259)</f>
        <v>0</v>
      </c>
      <c r="H297" s="1436">
        <f t="shared" si="8"/>
        <v>0</v>
      </c>
      <c r="I297" s="1436">
        <f t="shared" si="9"/>
        <v>106000</v>
      </c>
      <c r="J297" s="1439"/>
      <c r="K297" s="1440"/>
    </row>
    <row r="298" spans="1:11" ht="75">
      <c r="A298" s="1558" t="s">
        <v>1144</v>
      </c>
      <c r="B298" s="1378" t="s">
        <v>2037</v>
      </c>
      <c r="C298" s="1388">
        <v>14000</v>
      </c>
      <c r="D298" s="1379"/>
      <c r="E298" s="1379">
        <v>14000</v>
      </c>
      <c r="F298" s="1380"/>
      <c r="G298" s="1381"/>
      <c r="H298" s="1436">
        <f t="shared" si="8"/>
        <v>0</v>
      </c>
      <c r="I298" s="1436">
        <f t="shared" si="9"/>
        <v>28000</v>
      </c>
      <c r="J298" s="1441"/>
      <c r="K298" s="1435"/>
    </row>
    <row r="299" spans="1:11" hidden="1">
      <c r="A299" s="1558"/>
      <c r="B299" s="530"/>
      <c r="C299" s="574"/>
      <c r="D299" s="573"/>
      <c r="E299" s="574"/>
      <c r="F299" s="69"/>
      <c r="G299" s="69"/>
      <c r="H299" s="178">
        <f t="shared" si="8"/>
        <v>0</v>
      </c>
      <c r="I299" s="178">
        <f t="shared" si="9"/>
        <v>0</v>
      </c>
      <c r="J299" s="109"/>
    </row>
    <row r="300" spans="1:11" hidden="1">
      <c r="A300" s="1558"/>
      <c r="B300" s="425"/>
      <c r="C300" s="561"/>
      <c r="D300" s="561"/>
      <c r="E300" s="493"/>
      <c r="F300" s="69"/>
      <c r="G300" s="69"/>
      <c r="H300" s="178">
        <f t="shared" si="8"/>
        <v>0</v>
      </c>
      <c r="I300" s="178">
        <f t="shared" si="9"/>
        <v>0</v>
      </c>
      <c r="J300" s="109"/>
    </row>
    <row r="301" spans="1:11" hidden="1">
      <c r="A301" s="1558"/>
      <c r="B301" s="425"/>
      <c r="C301" s="561"/>
      <c r="D301" s="561"/>
      <c r="E301" s="493"/>
      <c r="F301" s="69"/>
      <c r="G301" s="69"/>
      <c r="H301" s="178">
        <f t="shared" si="8"/>
        <v>0</v>
      </c>
      <c r="I301" s="178">
        <f t="shared" si="9"/>
        <v>0</v>
      </c>
      <c r="J301" s="109"/>
    </row>
    <row r="302" spans="1:11" hidden="1">
      <c r="A302" s="1558"/>
      <c r="B302" s="425"/>
      <c r="C302" s="561"/>
      <c r="D302" s="561"/>
      <c r="E302" s="493"/>
      <c r="F302" s="69"/>
      <c r="G302" s="69"/>
      <c r="H302" s="178">
        <f t="shared" si="8"/>
        <v>0</v>
      </c>
      <c r="I302" s="178">
        <f t="shared" si="9"/>
        <v>0</v>
      </c>
      <c r="J302" s="109"/>
    </row>
    <row r="303" spans="1:11" hidden="1">
      <c r="A303" s="1558"/>
      <c r="B303" s="425"/>
      <c r="C303" s="561"/>
      <c r="D303" s="561"/>
      <c r="E303" s="493"/>
      <c r="F303" s="69"/>
      <c r="G303" s="69"/>
      <c r="H303" s="178">
        <f t="shared" si="8"/>
        <v>0</v>
      </c>
      <c r="I303" s="178">
        <f t="shared" si="9"/>
        <v>0</v>
      </c>
      <c r="J303" s="109"/>
    </row>
    <row r="304" spans="1:11" hidden="1">
      <c r="A304" s="1558"/>
      <c r="B304" s="425"/>
      <c r="C304" s="561"/>
      <c r="D304" s="561"/>
      <c r="E304" s="493"/>
      <c r="F304" s="69"/>
      <c r="G304" s="69"/>
      <c r="H304" s="178">
        <f t="shared" si="8"/>
        <v>0</v>
      </c>
      <c r="I304" s="178">
        <f t="shared" si="9"/>
        <v>0</v>
      </c>
      <c r="J304" s="109"/>
    </row>
    <row r="305" spans="1:10" hidden="1">
      <c r="A305" s="1558"/>
      <c r="B305" s="425"/>
      <c r="C305" s="561"/>
      <c r="D305" s="561"/>
      <c r="E305" s="493"/>
      <c r="F305" s="69"/>
      <c r="G305" s="69"/>
      <c r="H305" s="178">
        <f t="shared" si="8"/>
        <v>0</v>
      </c>
      <c r="I305" s="178">
        <f t="shared" si="9"/>
        <v>0</v>
      </c>
      <c r="J305" s="109"/>
    </row>
    <row r="306" spans="1:10" hidden="1">
      <c r="A306" s="1558"/>
      <c r="B306" s="425"/>
      <c r="C306" s="561"/>
      <c r="D306" s="561"/>
      <c r="E306" s="493"/>
      <c r="F306" s="69"/>
      <c r="G306" s="69"/>
      <c r="H306" s="178">
        <f t="shared" si="8"/>
        <v>0</v>
      </c>
      <c r="I306" s="178">
        <f t="shared" si="9"/>
        <v>0</v>
      </c>
      <c r="J306" s="109"/>
    </row>
    <row r="307" spans="1:10" hidden="1">
      <c r="A307" s="1558"/>
      <c r="B307" s="425"/>
      <c r="C307" s="561"/>
      <c r="D307" s="561"/>
      <c r="E307" s="493"/>
      <c r="F307" s="69"/>
      <c r="G307" s="69"/>
      <c r="H307" s="178">
        <f t="shared" si="8"/>
        <v>0</v>
      </c>
      <c r="I307" s="178">
        <f t="shared" si="9"/>
        <v>0</v>
      </c>
      <c r="J307" s="109"/>
    </row>
    <row r="308" spans="1:10" hidden="1">
      <c r="A308" s="1558"/>
      <c r="B308" s="425"/>
      <c r="C308" s="561"/>
      <c r="D308" s="561"/>
      <c r="E308" s="493"/>
      <c r="F308" s="69"/>
      <c r="G308" s="69"/>
      <c r="H308" s="178">
        <f t="shared" si="8"/>
        <v>0</v>
      </c>
      <c r="I308" s="178">
        <f t="shared" si="9"/>
        <v>0</v>
      </c>
      <c r="J308" s="109"/>
    </row>
    <row r="309" spans="1:10" hidden="1">
      <c r="A309" s="1558"/>
      <c r="B309" s="425"/>
      <c r="C309" s="561"/>
      <c r="D309" s="561"/>
      <c r="E309" s="493"/>
      <c r="F309" s="69"/>
      <c r="G309" s="69"/>
      <c r="H309" s="178">
        <f t="shared" si="8"/>
        <v>0</v>
      </c>
      <c r="I309" s="178">
        <f t="shared" si="9"/>
        <v>0</v>
      </c>
      <c r="J309" s="109"/>
    </row>
    <row r="310" spans="1:10" hidden="1">
      <c r="A310" s="1558"/>
      <c r="B310" s="425"/>
      <c r="C310" s="561"/>
      <c r="D310" s="561"/>
      <c r="E310" s="493"/>
      <c r="F310" s="69"/>
      <c r="G310" s="69"/>
      <c r="H310" s="178">
        <f t="shared" si="8"/>
        <v>0</v>
      </c>
      <c r="I310" s="178">
        <f t="shared" si="9"/>
        <v>0</v>
      </c>
      <c r="J310" s="109"/>
    </row>
    <row r="311" spans="1:10" hidden="1">
      <c r="A311" s="1558"/>
      <c r="B311" s="427"/>
      <c r="C311" s="578"/>
      <c r="D311" s="578"/>
      <c r="E311" s="579"/>
      <c r="F311" s="69"/>
      <c r="G311" s="69"/>
      <c r="H311" s="178">
        <f t="shared" si="8"/>
        <v>0</v>
      </c>
      <c r="I311" s="178">
        <f t="shared" si="9"/>
        <v>0</v>
      </c>
      <c r="J311" s="109"/>
    </row>
    <row r="312" spans="1:10" hidden="1">
      <c r="A312" s="1558"/>
      <c r="B312" s="427"/>
      <c r="C312" s="578"/>
      <c r="D312" s="578"/>
      <c r="E312" s="579"/>
      <c r="F312" s="69"/>
      <c r="G312" s="69"/>
      <c r="H312" s="178">
        <f t="shared" si="8"/>
        <v>0</v>
      </c>
      <c r="I312" s="178">
        <f t="shared" si="9"/>
        <v>0</v>
      </c>
      <c r="J312" s="109"/>
    </row>
    <row r="313" spans="1:10" hidden="1">
      <c r="A313" s="1558"/>
      <c r="B313" s="427"/>
      <c r="C313" s="578"/>
      <c r="D313" s="578"/>
      <c r="E313" s="579"/>
      <c r="F313" s="69"/>
      <c r="G313" s="69"/>
      <c r="H313" s="178">
        <f t="shared" si="8"/>
        <v>0</v>
      </c>
      <c r="I313" s="178">
        <f t="shared" si="9"/>
        <v>0</v>
      </c>
      <c r="J313" s="109"/>
    </row>
    <row r="314" spans="1:10" hidden="1">
      <c r="A314" s="1558"/>
      <c r="B314" s="427"/>
      <c r="C314" s="578"/>
      <c r="D314" s="578"/>
      <c r="E314" s="579"/>
      <c r="F314" s="69"/>
      <c r="G314" s="69"/>
      <c r="H314" s="178">
        <f t="shared" si="8"/>
        <v>0</v>
      </c>
      <c r="I314" s="178">
        <f t="shared" si="9"/>
        <v>0</v>
      </c>
      <c r="J314" s="109"/>
    </row>
    <row r="315" spans="1:10" hidden="1">
      <c r="A315" s="1558"/>
      <c r="B315" s="427"/>
      <c r="C315" s="578"/>
      <c r="D315" s="578"/>
      <c r="E315" s="579"/>
      <c r="F315" s="69"/>
      <c r="G315" s="69"/>
      <c r="H315" s="178">
        <f t="shared" si="8"/>
        <v>0</v>
      </c>
      <c r="I315" s="178">
        <f t="shared" si="9"/>
        <v>0</v>
      </c>
      <c r="J315" s="109"/>
    </row>
    <row r="316" spans="1:10" hidden="1">
      <c r="A316" s="1558"/>
      <c r="B316" s="427"/>
      <c r="C316" s="578"/>
      <c r="D316" s="578"/>
      <c r="E316" s="579"/>
      <c r="F316" s="69"/>
      <c r="G316" s="69"/>
      <c r="H316" s="178">
        <f t="shared" si="8"/>
        <v>0</v>
      </c>
      <c r="I316" s="178">
        <f t="shared" si="9"/>
        <v>0</v>
      </c>
      <c r="J316" s="109"/>
    </row>
    <row r="317" spans="1:10" hidden="1">
      <c r="A317" s="1558"/>
      <c r="B317" s="427"/>
      <c r="C317" s="578"/>
      <c r="D317" s="578"/>
      <c r="E317" s="579"/>
      <c r="F317" s="69"/>
      <c r="G317" s="69"/>
      <c r="H317" s="178">
        <f t="shared" si="8"/>
        <v>0</v>
      </c>
      <c r="I317" s="178">
        <f t="shared" si="9"/>
        <v>0</v>
      </c>
      <c r="J317" s="109"/>
    </row>
    <row r="318" spans="1:10" hidden="1">
      <c r="A318" s="1558"/>
      <c r="B318" s="427"/>
      <c r="C318" s="578"/>
      <c r="D318" s="578"/>
      <c r="E318" s="579"/>
      <c r="F318" s="69"/>
      <c r="G318" s="69"/>
      <c r="H318" s="178">
        <f t="shared" si="8"/>
        <v>0</v>
      </c>
      <c r="I318" s="178">
        <f t="shared" si="9"/>
        <v>0</v>
      </c>
      <c r="J318" s="109"/>
    </row>
    <row r="319" spans="1:10" hidden="1">
      <c r="A319" s="1558"/>
      <c r="B319" s="427"/>
      <c r="C319" s="578"/>
      <c r="D319" s="578"/>
      <c r="E319" s="579"/>
      <c r="F319" s="69"/>
      <c r="G319" s="69"/>
      <c r="H319" s="178">
        <f t="shared" si="8"/>
        <v>0</v>
      </c>
      <c r="I319" s="178">
        <f t="shared" si="9"/>
        <v>0</v>
      </c>
      <c r="J319" s="109"/>
    </row>
    <row r="320" spans="1:10" hidden="1">
      <c r="A320" s="1558"/>
      <c r="B320" s="427"/>
      <c r="C320" s="578"/>
      <c r="D320" s="578"/>
      <c r="E320" s="579"/>
      <c r="F320" s="69"/>
      <c r="G320" s="69"/>
      <c r="H320" s="178">
        <f t="shared" si="8"/>
        <v>0</v>
      </c>
      <c r="I320" s="178">
        <f t="shared" si="9"/>
        <v>0</v>
      </c>
      <c r="J320" s="109"/>
    </row>
    <row r="321" spans="1:11" hidden="1">
      <c r="A321" s="1558"/>
      <c r="B321" s="427"/>
      <c r="C321" s="578"/>
      <c r="D321" s="578"/>
      <c r="E321" s="579"/>
      <c r="F321" s="69"/>
      <c r="G321" s="69"/>
      <c r="H321" s="178">
        <f t="shared" si="8"/>
        <v>0</v>
      </c>
      <c r="I321" s="178">
        <f t="shared" si="9"/>
        <v>0</v>
      </c>
      <c r="J321" s="109"/>
    </row>
    <row r="322" spans="1:11" hidden="1">
      <c r="A322" s="1558"/>
      <c r="B322" s="427"/>
      <c r="C322" s="578"/>
      <c r="D322" s="578"/>
      <c r="E322" s="579"/>
      <c r="F322" s="69"/>
      <c r="G322" s="69"/>
      <c r="H322" s="178">
        <f t="shared" si="8"/>
        <v>0</v>
      </c>
      <c r="I322" s="178">
        <f t="shared" si="9"/>
        <v>0</v>
      </c>
      <c r="J322" s="109"/>
    </row>
    <row r="323" spans="1:11" hidden="1">
      <c r="A323" s="1558"/>
      <c r="B323" s="427"/>
      <c r="C323" s="578"/>
      <c r="D323" s="578"/>
      <c r="E323" s="579"/>
      <c r="F323" s="69"/>
      <c r="G323" s="69"/>
      <c r="H323" s="178">
        <f t="shared" si="8"/>
        <v>0</v>
      </c>
      <c r="I323" s="178">
        <f t="shared" si="9"/>
        <v>0</v>
      </c>
      <c r="J323" s="109"/>
    </row>
    <row r="324" spans="1:11" hidden="1">
      <c r="A324" s="1558"/>
      <c r="B324" s="427"/>
      <c r="C324" s="578"/>
      <c r="D324" s="578"/>
      <c r="E324" s="579"/>
      <c r="F324" s="69"/>
      <c r="G324" s="69"/>
      <c r="H324" s="178">
        <f t="shared" si="8"/>
        <v>0</v>
      </c>
      <c r="I324" s="178">
        <f t="shared" si="9"/>
        <v>0</v>
      </c>
      <c r="J324" s="109"/>
    </row>
    <row r="325" spans="1:11" hidden="1">
      <c r="A325" s="1558"/>
      <c r="B325" s="432"/>
      <c r="C325" s="577"/>
      <c r="D325" s="561"/>
      <c r="E325" s="577"/>
      <c r="F325" s="69"/>
      <c r="G325" s="69"/>
      <c r="H325" s="178">
        <f t="shared" si="8"/>
        <v>0</v>
      </c>
      <c r="I325" s="178">
        <f t="shared" si="9"/>
        <v>0</v>
      </c>
      <c r="J325" s="109"/>
    </row>
    <row r="326" spans="1:11" hidden="1">
      <c r="A326" s="1558"/>
      <c r="B326" s="432"/>
      <c r="C326" s="577"/>
      <c r="D326" s="561"/>
      <c r="E326" s="577"/>
      <c r="F326" s="69"/>
      <c r="G326" s="69"/>
      <c r="H326" s="178">
        <f t="shared" si="8"/>
        <v>0</v>
      </c>
      <c r="I326" s="178">
        <f t="shared" si="9"/>
        <v>0</v>
      </c>
      <c r="J326" s="109"/>
    </row>
    <row r="327" spans="1:11">
      <c r="A327" s="1558"/>
      <c r="B327" s="209" t="s">
        <v>985</v>
      </c>
      <c r="C327" s="581">
        <f>SUM(C298:C326)</f>
        <v>14000</v>
      </c>
      <c r="D327" s="581">
        <f>SUM(D298:D326)</f>
        <v>0</v>
      </c>
      <c r="E327" s="581">
        <f>SUM(E298:E326)</f>
        <v>14000</v>
      </c>
      <c r="F327" s="115">
        <f>SUM(F298:F299)</f>
        <v>0</v>
      </c>
      <c r="G327" s="115">
        <f>SUM(G298:G299)</f>
        <v>0</v>
      </c>
      <c r="H327" s="1436">
        <f t="shared" si="8"/>
        <v>0</v>
      </c>
      <c r="I327" s="1436">
        <f t="shared" si="9"/>
        <v>28000</v>
      </c>
      <c r="J327" s="1439"/>
      <c r="K327" s="1435"/>
    </row>
    <row r="328" spans="1:11" hidden="1">
      <c r="A328" s="1558" t="s">
        <v>254</v>
      </c>
      <c r="B328" s="533"/>
      <c r="C328" s="587"/>
      <c r="D328" s="587"/>
      <c r="E328" s="587"/>
      <c r="F328" s="180"/>
      <c r="G328" s="180"/>
      <c r="H328" s="178">
        <f t="shared" si="8"/>
        <v>0</v>
      </c>
      <c r="I328" s="178">
        <f t="shared" si="9"/>
        <v>0</v>
      </c>
      <c r="J328" s="109"/>
    </row>
    <row r="329" spans="1:11" s="611" customFormat="1" hidden="1">
      <c r="A329" s="1558"/>
      <c r="B329" s="607"/>
      <c r="C329" s="615"/>
      <c r="D329" s="615"/>
      <c r="E329" s="615"/>
      <c r="F329" s="612"/>
      <c r="G329" s="612"/>
      <c r="H329" s="178">
        <f t="shared" ref="H329:H392" si="10">E329+D329-C329</f>
        <v>0</v>
      </c>
      <c r="I329" s="178">
        <f t="shared" ref="I329:I392" si="11">SUM(C329:E329)</f>
        <v>0</v>
      </c>
      <c r="J329" s="610"/>
    </row>
    <row r="330" spans="1:11" hidden="1">
      <c r="A330" s="1558"/>
      <c r="B330" s="432"/>
      <c r="C330" s="493"/>
      <c r="D330" s="493"/>
      <c r="E330" s="493"/>
      <c r="F330" s="69"/>
      <c r="G330" s="69"/>
      <c r="H330" s="178">
        <f t="shared" si="10"/>
        <v>0</v>
      </c>
      <c r="I330" s="178">
        <f t="shared" si="11"/>
        <v>0</v>
      </c>
      <c r="J330" s="109"/>
    </row>
    <row r="331" spans="1:11" hidden="1">
      <c r="A331" s="1558"/>
      <c r="B331" s="425"/>
      <c r="C331" s="561"/>
      <c r="D331" s="561"/>
      <c r="E331" s="493"/>
      <c r="F331" s="69"/>
      <c r="G331" s="69"/>
      <c r="H331" s="178">
        <f t="shared" si="10"/>
        <v>0</v>
      </c>
      <c r="I331" s="178">
        <f t="shared" si="11"/>
        <v>0</v>
      </c>
      <c r="J331" s="109"/>
    </row>
    <row r="332" spans="1:11" hidden="1">
      <c r="A332" s="1558"/>
      <c r="B332" s="425"/>
      <c r="C332" s="561"/>
      <c r="D332" s="561"/>
      <c r="E332" s="493"/>
      <c r="F332" s="69"/>
      <c r="G332" s="69"/>
      <c r="H332" s="178">
        <f t="shared" si="10"/>
        <v>0</v>
      </c>
      <c r="I332" s="178">
        <f t="shared" si="11"/>
        <v>0</v>
      </c>
      <c r="J332" s="109"/>
    </row>
    <row r="333" spans="1:11" hidden="1">
      <c r="A333" s="1558"/>
      <c r="B333" s="425"/>
      <c r="C333" s="561"/>
      <c r="D333" s="561"/>
      <c r="E333" s="493"/>
      <c r="F333" s="69"/>
      <c r="G333" s="69"/>
      <c r="H333" s="178">
        <f t="shared" si="10"/>
        <v>0</v>
      </c>
      <c r="I333" s="178">
        <f t="shared" si="11"/>
        <v>0</v>
      </c>
      <c r="J333" s="109"/>
    </row>
    <row r="334" spans="1:11" hidden="1">
      <c r="A334" s="1558"/>
      <c r="B334" s="425"/>
      <c r="C334" s="561"/>
      <c r="D334" s="561"/>
      <c r="E334" s="493"/>
      <c r="F334" s="69"/>
      <c r="G334" s="69"/>
      <c r="H334" s="178">
        <f t="shared" si="10"/>
        <v>0</v>
      </c>
      <c r="I334" s="178">
        <f t="shared" si="11"/>
        <v>0</v>
      </c>
      <c r="J334" s="109"/>
    </row>
    <row r="335" spans="1:11" hidden="1">
      <c r="A335" s="1558"/>
      <c r="B335" s="425"/>
      <c r="C335" s="561"/>
      <c r="D335" s="561"/>
      <c r="E335" s="493"/>
      <c r="F335" s="69"/>
      <c r="G335" s="69"/>
      <c r="H335" s="178">
        <f t="shared" si="10"/>
        <v>0</v>
      </c>
      <c r="I335" s="178">
        <f t="shared" si="11"/>
        <v>0</v>
      </c>
      <c r="J335" s="109"/>
    </row>
    <row r="336" spans="1:11" hidden="1">
      <c r="A336" s="1558"/>
      <c r="B336" s="425"/>
      <c r="C336" s="561"/>
      <c r="D336" s="561"/>
      <c r="E336" s="493"/>
      <c r="F336" s="69"/>
      <c r="G336" s="69"/>
      <c r="H336" s="178">
        <f t="shared" si="10"/>
        <v>0</v>
      </c>
      <c r="I336" s="178">
        <f t="shared" si="11"/>
        <v>0</v>
      </c>
      <c r="J336" s="109"/>
    </row>
    <row r="337" spans="1:10" hidden="1">
      <c r="A337" s="1558"/>
      <c r="B337" s="425"/>
      <c r="C337" s="561"/>
      <c r="D337" s="561"/>
      <c r="E337" s="493"/>
      <c r="F337" s="69"/>
      <c r="G337" s="69"/>
      <c r="H337" s="178">
        <f t="shared" si="10"/>
        <v>0</v>
      </c>
      <c r="I337" s="178">
        <f t="shared" si="11"/>
        <v>0</v>
      </c>
      <c r="J337" s="109"/>
    </row>
    <row r="338" spans="1:10" hidden="1">
      <c r="A338" s="1558"/>
      <c r="B338" s="425"/>
      <c r="C338" s="561"/>
      <c r="D338" s="561"/>
      <c r="E338" s="493"/>
      <c r="F338" s="69"/>
      <c r="G338" s="69"/>
      <c r="H338" s="178">
        <f t="shared" si="10"/>
        <v>0</v>
      </c>
      <c r="I338" s="178">
        <f t="shared" si="11"/>
        <v>0</v>
      </c>
      <c r="J338" s="109"/>
    </row>
    <row r="339" spans="1:10" hidden="1">
      <c r="A339" s="1558"/>
      <c r="B339" s="425"/>
      <c r="C339" s="561"/>
      <c r="D339" s="561"/>
      <c r="E339" s="493"/>
      <c r="F339" s="69"/>
      <c r="G339" s="69"/>
      <c r="H339" s="178">
        <f t="shared" si="10"/>
        <v>0</v>
      </c>
      <c r="I339" s="178">
        <f t="shared" si="11"/>
        <v>0</v>
      </c>
      <c r="J339" s="109"/>
    </row>
    <row r="340" spans="1:10" hidden="1">
      <c r="A340" s="1558"/>
      <c r="B340" s="432"/>
      <c r="C340" s="493"/>
      <c r="D340" s="561"/>
      <c r="E340" s="493"/>
      <c r="F340" s="69"/>
      <c r="G340" s="69"/>
      <c r="H340" s="178">
        <f t="shared" si="10"/>
        <v>0</v>
      </c>
      <c r="I340" s="178">
        <f t="shared" si="11"/>
        <v>0</v>
      </c>
      <c r="J340" s="109"/>
    </row>
    <row r="341" spans="1:10" hidden="1">
      <c r="A341" s="1558"/>
      <c r="B341" s="425"/>
      <c r="C341" s="561"/>
      <c r="D341" s="561"/>
      <c r="E341" s="493"/>
      <c r="F341" s="69"/>
      <c r="G341" s="69"/>
      <c r="H341" s="178">
        <f t="shared" si="10"/>
        <v>0</v>
      </c>
      <c r="I341" s="178">
        <f t="shared" si="11"/>
        <v>0</v>
      </c>
      <c r="J341" s="109"/>
    </row>
    <row r="342" spans="1:10" hidden="1">
      <c r="A342" s="1558"/>
      <c r="B342" s="425"/>
      <c r="C342" s="493"/>
      <c r="D342" s="493"/>
      <c r="E342" s="493"/>
      <c r="F342" s="69"/>
      <c r="G342" s="69"/>
      <c r="H342" s="178">
        <f t="shared" si="10"/>
        <v>0</v>
      </c>
      <c r="I342" s="178">
        <f t="shared" si="11"/>
        <v>0</v>
      </c>
      <c r="J342" s="109"/>
    </row>
    <row r="343" spans="1:10" hidden="1">
      <c r="A343" s="1558"/>
      <c r="B343" s="425"/>
      <c r="C343" s="561"/>
      <c r="D343" s="561"/>
      <c r="E343" s="493"/>
      <c r="F343" s="69"/>
      <c r="G343" s="69"/>
      <c r="H343" s="178">
        <f t="shared" si="10"/>
        <v>0</v>
      </c>
      <c r="I343" s="178">
        <f t="shared" si="11"/>
        <v>0</v>
      </c>
      <c r="J343" s="109"/>
    </row>
    <row r="344" spans="1:10" hidden="1">
      <c r="A344" s="1558"/>
      <c r="B344" s="425"/>
      <c r="C344" s="561"/>
      <c r="D344" s="561"/>
      <c r="E344" s="493"/>
      <c r="F344" s="69"/>
      <c r="G344" s="69"/>
      <c r="H344" s="178">
        <f t="shared" si="10"/>
        <v>0</v>
      </c>
      <c r="I344" s="178">
        <f t="shared" si="11"/>
        <v>0</v>
      </c>
      <c r="J344" s="109"/>
    </row>
    <row r="345" spans="1:10" hidden="1">
      <c r="A345" s="1558"/>
      <c r="B345" s="425"/>
      <c r="C345" s="493"/>
      <c r="D345" s="493"/>
      <c r="E345" s="493"/>
      <c r="F345" s="69"/>
      <c r="G345" s="69"/>
      <c r="H345" s="178">
        <f t="shared" si="10"/>
        <v>0</v>
      </c>
      <c r="I345" s="178">
        <f t="shared" si="11"/>
        <v>0</v>
      </c>
      <c r="J345" s="109"/>
    </row>
    <row r="346" spans="1:10" hidden="1">
      <c r="A346" s="1558"/>
      <c r="B346" s="425"/>
      <c r="C346" s="493"/>
      <c r="D346" s="493"/>
      <c r="E346" s="493"/>
      <c r="F346" s="69"/>
      <c r="G346" s="69"/>
      <c r="H346" s="178">
        <f t="shared" si="10"/>
        <v>0</v>
      </c>
      <c r="I346" s="178">
        <f t="shared" si="11"/>
        <v>0</v>
      </c>
      <c r="J346" s="109"/>
    </row>
    <row r="347" spans="1:10" hidden="1">
      <c r="A347" s="1558"/>
      <c r="B347" s="425"/>
      <c r="C347" s="561"/>
      <c r="D347" s="561"/>
      <c r="E347" s="493"/>
      <c r="F347" s="69"/>
      <c r="G347" s="69"/>
      <c r="H347" s="178">
        <f t="shared" si="10"/>
        <v>0</v>
      </c>
      <c r="I347" s="178">
        <f t="shared" si="11"/>
        <v>0</v>
      </c>
      <c r="J347" s="109"/>
    </row>
    <row r="348" spans="1:10" hidden="1">
      <c r="A348" s="1558"/>
      <c r="B348" s="425"/>
      <c r="C348" s="561"/>
      <c r="D348" s="561"/>
      <c r="E348" s="493"/>
      <c r="F348" s="69"/>
      <c r="G348" s="69"/>
      <c r="H348" s="178">
        <f t="shared" si="10"/>
        <v>0</v>
      </c>
      <c r="I348" s="178">
        <f t="shared" si="11"/>
        <v>0</v>
      </c>
      <c r="J348" s="109"/>
    </row>
    <row r="349" spans="1:10" hidden="1">
      <c r="A349" s="1558"/>
      <c r="B349" s="425"/>
      <c r="C349" s="561"/>
      <c r="D349" s="561"/>
      <c r="E349" s="493"/>
      <c r="F349" s="69"/>
      <c r="G349" s="69"/>
      <c r="H349" s="178">
        <f t="shared" si="10"/>
        <v>0</v>
      </c>
      <c r="I349" s="178">
        <f t="shared" si="11"/>
        <v>0</v>
      </c>
      <c r="J349" s="109"/>
    </row>
    <row r="350" spans="1:10" hidden="1">
      <c r="A350" s="1558"/>
      <c r="B350" s="425"/>
      <c r="C350" s="561"/>
      <c r="D350" s="561"/>
      <c r="E350" s="493"/>
      <c r="F350" s="69"/>
      <c r="G350" s="69"/>
      <c r="H350" s="178">
        <f t="shared" si="10"/>
        <v>0</v>
      </c>
      <c r="I350" s="178">
        <f t="shared" si="11"/>
        <v>0</v>
      </c>
      <c r="J350" s="109"/>
    </row>
    <row r="351" spans="1:10" hidden="1">
      <c r="A351" s="1558"/>
      <c r="B351" s="425"/>
      <c r="C351" s="561"/>
      <c r="D351" s="561"/>
      <c r="E351" s="493"/>
      <c r="F351" s="69"/>
      <c r="G351" s="69"/>
      <c r="H351" s="178">
        <f t="shared" si="10"/>
        <v>0</v>
      </c>
      <c r="I351" s="178">
        <f t="shared" si="11"/>
        <v>0</v>
      </c>
      <c r="J351" s="109"/>
    </row>
    <row r="352" spans="1:10" hidden="1">
      <c r="A352" s="1558"/>
      <c r="B352" s="425"/>
      <c r="C352" s="561"/>
      <c r="D352" s="561"/>
      <c r="E352" s="493"/>
      <c r="F352" s="69"/>
      <c r="G352" s="69"/>
      <c r="H352" s="178">
        <f t="shared" si="10"/>
        <v>0</v>
      </c>
      <c r="I352" s="178">
        <f t="shared" si="11"/>
        <v>0</v>
      </c>
      <c r="J352" s="109"/>
    </row>
    <row r="353" spans="1:10" hidden="1">
      <c r="A353" s="1558"/>
      <c r="B353" s="425"/>
      <c r="C353" s="561"/>
      <c r="D353" s="561"/>
      <c r="E353" s="493"/>
      <c r="F353" s="69"/>
      <c r="G353" s="69"/>
      <c r="H353" s="178">
        <f t="shared" si="10"/>
        <v>0</v>
      </c>
      <c r="I353" s="178">
        <f t="shared" si="11"/>
        <v>0</v>
      </c>
      <c r="J353" s="109"/>
    </row>
    <row r="354" spans="1:10" hidden="1">
      <c r="A354" s="1558"/>
      <c r="B354" s="425"/>
      <c r="C354" s="561"/>
      <c r="D354" s="561"/>
      <c r="E354" s="493"/>
      <c r="F354" s="69"/>
      <c r="G354" s="69"/>
      <c r="H354" s="178">
        <f t="shared" si="10"/>
        <v>0</v>
      </c>
      <c r="I354" s="178">
        <f t="shared" si="11"/>
        <v>0</v>
      </c>
      <c r="J354" s="109"/>
    </row>
    <row r="355" spans="1:10" hidden="1">
      <c r="A355" s="1558"/>
      <c r="B355" s="425"/>
      <c r="C355" s="561"/>
      <c r="D355" s="561"/>
      <c r="E355" s="493"/>
      <c r="F355" s="69"/>
      <c r="G355" s="69"/>
      <c r="H355" s="178">
        <f t="shared" si="10"/>
        <v>0</v>
      </c>
      <c r="I355" s="178">
        <f t="shared" si="11"/>
        <v>0</v>
      </c>
      <c r="J355" s="109"/>
    </row>
    <row r="356" spans="1:10" hidden="1">
      <c r="A356" s="1558"/>
      <c r="B356" s="425"/>
      <c r="C356" s="561"/>
      <c r="D356" s="561"/>
      <c r="E356" s="493"/>
      <c r="F356" s="69"/>
      <c r="G356" s="69"/>
      <c r="H356" s="178">
        <f t="shared" si="10"/>
        <v>0</v>
      </c>
      <c r="I356" s="178">
        <f t="shared" si="11"/>
        <v>0</v>
      </c>
      <c r="J356" s="109"/>
    </row>
    <row r="357" spans="1:10" hidden="1">
      <c r="A357" s="1558"/>
      <c r="B357" s="425"/>
      <c r="C357" s="561"/>
      <c r="D357" s="561"/>
      <c r="E357" s="493"/>
      <c r="F357" s="69"/>
      <c r="G357" s="69"/>
      <c r="H357" s="178">
        <f t="shared" si="10"/>
        <v>0</v>
      </c>
      <c r="I357" s="178">
        <f t="shared" si="11"/>
        <v>0</v>
      </c>
      <c r="J357" s="109"/>
    </row>
    <row r="358" spans="1:10" hidden="1">
      <c r="A358" s="1558"/>
      <c r="B358" s="425"/>
      <c r="C358" s="561"/>
      <c r="D358" s="561"/>
      <c r="E358" s="493"/>
      <c r="F358" s="69"/>
      <c r="G358" s="69"/>
      <c r="H358" s="178">
        <f t="shared" si="10"/>
        <v>0</v>
      </c>
      <c r="I358" s="178">
        <f t="shared" si="11"/>
        <v>0</v>
      </c>
      <c r="J358" s="109"/>
    </row>
    <row r="359" spans="1:10" hidden="1">
      <c r="A359" s="1558"/>
      <c r="B359" s="427"/>
      <c r="C359" s="575"/>
      <c r="D359" s="575"/>
      <c r="E359" s="576"/>
      <c r="F359" s="69"/>
      <c r="G359" s="69"/>
      <c r="H359" s="178">
        <f t="shared" si="10"/>
        <v>0</v>
      </c>
      <c r="I359" s="178">
        <f t="shared" si="11"/>
        <v>0</v>
      </c>
      <c r="J359" s="109"/>
    </row>
    <row r="360" spans="1:10" hidden="1">
      <c r="A360" s="1558"/>
      <c r="B360" s="427"/>
      <c r="C360" s="575"/>
      <c r="D360" s="575"/>
      <c r="E360" s="576"/>
      <c r="F360" s="69"/>
      <c r="G360" s="69"/>
      <c r="H360" s="178">
        <f t="shared" si="10"/>
        <v>0</v>
      </c>
      <c r="I360" s="178">
        <f t="shared" si="11"/>
        <v>0</v>
      </c>
      <c r="J360" s="109"/>
    </row>
    <row r="361" spans="1:10" hidden="1">
      <c r="A361" s="1558"/>
      <c r="B361" s="427"/>
      <c r="C361" s="575"/>
      <c r="D361" s="575"/>
      <c r="E361" s="576"/>
      <c r="F361" s="69"/>
      <c r="G361" s="69"/>
      <c r="H361" s="178">
        <f t="shared" si="10"/>
        <v>0</v>
      </c>
      <c r="I361" s="178">
        <f t="shared" si="11"/>
        <v>0</v>
      </c>
      <c r="J361" s="109"/>
    </row>
    <row r="362" spans="1:10" hidden="1">
      <c r="A362" s="1558"/>
      <c r="B362" s="427"/>
      <c r="C362" s="575"/>
      <c r="D362" s="575"/>
      <c r="E362" s="576"/>
      <c r="F362" s="69"/>
      <c r="G362" s="69"/>
      <c r="H362" s="178">
        <f t="shared" si="10"/>
        <v>0</v>
      </c>
      <c r="I362" s="178">
        <f t="shared" si="11"/>
        <v>0</v>
      </c>
      <c r="J362" s="109"/>
    </row>
    <row r="363" spans="1:10" hidden="1">
      <c r="A363" s="1558"/>
      <c r="B363" s="427"/>
      <c r="C363" s="575"/>
      <c r="D363" s="575"/>
      <c r="E363" s="576"/>
      <c r="F363" s="69"/>
      <c r="G363" s="69"/>
      <c r="H363" s="178">
        <f t="shared" si="10"/>
        <v>0</v>
      </c>
      <c r="I363" s="178">
        <f t="shared" si="11"/>
        <v>0</v>
      </c>
      <c r="J363" s="109"/>
    </row>
    <row r="364" spans="1:10" hidden="1">
      <c r="A364" s="1558"/>
      <c r="B364" s="427"/>
      <c r="C364" s="575"/>
      <c r="D364" s="575"/>
      <c r="E364" s="576"/>
      <c r="F364" s="69"/>
      <c r="G364" s="69"/>
      <c r="H364" s="178">
        <f t="shared" si="10"/>
        <v>0</v>
      </c>
      <c r="I364" s="178">
        <f t="shared" si="11"/>
        <v>0</v>
      </c>
      <c r="J364" s="109"/>
    </row>
    <row r="365" spans="1:10" hidden="1">
      <c r="A365" s="1558"/>
      <c r="B365" s="427"/>
      <c r="C365" s="575"/>
      <c r="D365" s="575"/>
      <c r="E365" s="576"/>
      <c r="F365" s="69"/>
      <c r="G365" s="69"/>
      <c r="H365" s="178">
        <f t="shared" si="10"/>
        <v>0</v>
      </c>
      <c r="I365" s="178">
        <f t="shared" si="11"/>
        <v>0</v>
      </c>
      <c r="J365" s="109"/>
    </row>
    <row r="366" spans="1:10" hidden="1">
      <c r="A366" s="1558"/>
      <c r="B366" s="427"/>
      <c r="C366" s="575"/>
      <c r="D366" s="575"/>
      <c r="E366" s="576"/>
      <c r="F366" s="69"/>
      <c r="G366" s="69"/>
      <c r="H366" s="178">
        <f t="shared" si="10"/>
        <v>0</v>
      </c>
      <c r="I366" s="178">
        <f t="shared" si="11"/>
        <v>0</v>
      </c>
      <c r="J366" s="109"/>
    </row>
    <row r="367" spans="1:10" hidden="1">
      <c r="A367" s="1558"/>
      <c r="B367" s="427"/>
      <c r="C367" s="575"/>
      <c r="D367" s="575"/>
      <c r="E367" s="576"/>
      <c r="F367" s="69"/>
      <c r="G367" s="69"/>
      <c r="H367" s="178">
        <f t="shared" si="10"/>
        <v>0</v>
      </c>
      <c r="I367" s="178">
        <f t="shared" si="11"/>
        <v>0</v>
      </c>
      <c r="J367" s="109"/>
    </row>
    <row r="368" spans="1:10" hidden="1">
      <c r="A368" s="1558"/>
      <c r="B368" s="427"/>
      <c r="C368" s="575"/>
      <c r="D368" s="575"/>
      <c r="E368" s="576"/>
      <c r="F368" s="69"/>
      <c r="G368" s="69"/>
      <c r="H368" s="178">
        <f t="shared" si="10"/>
        <v>0</v>
      </c>
      <c r="I368" s="178">
        <f t="shared" si="11"/>
        <v>0</v>
      </c>
      <c r="J368" s="109"/>
    </row>
    <row r="369" spans="1:10" hidden="1">
      <c r="A369" s="1558"/>
      <c r="B369" s="432"/>
      <c r="C369" s="577"/>
      <c r="D369" s="561"/>
      <c r="E369" s="577"/>
      <c r="F369" s="69"/>
      <c r="G369" s="69"/>
      <c r="H369" s="178">
        <f t="shared" si="10"/>
        <v>0</v>
      </c>
      <c r="I369" s="178">
        <f t="shared" si="11"/>
        <v>0</v>
      </c>
      <c r="J369" s="109"/>
    </row>
    <row r="370" spans="1:10" hidden="1">
      <c r="A370" s="1558"/>
      <c r="B370" s="432"/>
      <c r="C370" s="577"/>
      <c r="D370" s="561"/>
      <c r="E370" s="577"/>
      <c r="F370" s="69"/>
      <c r="G370" s="69"/>
      <c r="H370" s="178">
        <f t="shared" si="10"/>
        <v>0</v>
      </c>
      <c r="I370" s="178">
        <f t="shared" si="11"/>
        <v>0</v>
      </c>
      <c r="J370" s="109"/>
    </row>
    <row r="371" spans="1:10" hidden="1">
      <c r="A371" s="1558"/>
      <c r="B371" s="432"/>
      <c r="C371" s="577"/>
      <c r="D371" s="561"/>
      <c r="E371" s="577"/>
      <c r="F371" s="69"/>
      <c r="G371" s="69"/>
      <c r="H371" s="178">
        <f t="shared" si="10"/>
        <v>0</v>
      </c>
      <c r="I371" s="178">
        <f t="shared" si="11"/>
        <v>0</v>
      </c>
      <c r="J371" s="109"/>
    </row>
    <row r="372" spans="1:10" hidden="1">
      <c r="A372" s="1558"/>
      <c r="B372" s="209" t="s">
        <v>985</v>
      </c>
      <c r="C372" s="588">
        <f>SUM(C328:C371)</f>
        <v>0</v>
      </c>
      <c r="D372" s="588">
        <f>SUM(D328:D371)</f>
        <v>0</v>
      </c>
      <c r="E372" s="588">
        <f>SUM(E328:E371)</f>
        <v>0</v>
      </c>
      <c r="F372" s="115">
        <f>SUM(F328:F340)</f>
        <v>0</v>
      </c>
      <c r="G372" s="115">
        <f>SUM(G328:G340)</f>
        <v>0</v>
      </c>
      <c r="H372" s="178">
        <f t="shared" si="10"/>
        <v>0</v>
      </c>
      <c r="I372" s="178">
        <f t="shared" si="11"/>
        <v>0</v>
      </c>
      <c r="J372" s="109"/>
    </row>
    <row r="373" spans="1:10" hidden="1">
      <c r="A373" s="1558" t="s">
        <v>242</v>
      </c>
      <c r="B373" s="541"/>
      <c r="C373" s="583"/>
      <c r="D373" s="583"/>
      <c r="E373" s="583"/>
      <c r="F373" s="180"/>
      <c r="G373" s="180"/>
      <c r="H373" s="178">
        <f t="shared" si="10"/>
        <v>0</v>
      </c>
      <c r="I373" s="178">
        <f t="shared" si="11"/>
        <v>0</v>
      </c>
      <c r="J373" s="109"/>
    </row>
    <row r="374" spans="1:10" hidden="1">
      <c r="A374" s="1558"/>
      <c r="B374" s="425"/>
      <c r="C374" s="561"/>
      <c r="D374" s="561"/>
      <c r="E374" s="493"/>
      <c r="F374" s="69"/>
      <c r="G374" s="69"/>
      <c r="H374" s="178">
        <f t="shared" si="10"/>
        <v>0</v>
      </c>
      <c r="I374" s="178">
        <f t="shared" si="11"/>
        <v>0</v>
      </c>
      <c r="J374" s="109"/>
    </row>
    <row r="375" spans="1:10" hidden="1">
      <c r="A375" s="1558"/>
      <c r="B375" s="425"/>
      <c r="C375" s="561"/>
      <c r="D375" s="561"/>
      <c r="E375" s="561"/>
      <c r="F375" s="69"/>
      <c r="G375" s="69"/>
      <c r="H375" s="178">
        <f t="shared" si="10"/>
        <v>0</v>
      </c>
      <c r="I375" s="178">
        <f t="shared" si="11"/>
        <v>0</v>
      </c>
      <c r="J375" s="109"/>
    </row>
    <row r="376" spans="1:10" hidden="1">
      <c r="A376" s="1558"/>
      <c r="B376" s="425"/>
      <c r="C376" s="561"/>
      <c r="D376" s="561"/>
      <c r="E376" s="561"/>
      <c r="F376" s="69"/>
      <c r="G376" s="69"/>
      <c r="H376" s="178">
        <f t="shared" si="10"/>
        <v>0</v>
      </c>
      <c r="I376" s="178">
        <f t="shared" si="11"/>
        <v>0</v>
      </c>
      <c r="J376" s="109"/>
    </row>
    <row r="377" spans="1:10" hidden="1">
      <c r="A377" s="1558"/>
      <c r="B377" s="425"/>
      <c r="C377" s="561"/>
      <c r="D377" s="561"/>
      <c r="E377" s="561"/>
      <c r="F377" s="69"/>
      <c r="G377" s="69"/>
      <c r="H377" s="178">
        <f t="shared" si="10"/>
        <v>0</v>
      </c>
      <c r="I377" s="178">
        <f t="shared" si="11"/>
        <v>0</v>
      </c>
      <c r="J377" s="109"/>
    </row>
    <row r="378" spans="1:10" hidden="1">
      <c r="A378" s="1558"/>
      <c r="B378" s="425"/>
      <c r="C378" s="561"/>
      <c r="D378" s="561"/>
      <c r="E378" s="561"/>
      <c r="F378" s="69"/>
      <c r="G378" s="69"/>
      <c r="H378" s="178">
        <f t="shared" si="10"/>
        <v>0</v>
      </c>
      <c r="I378" s="178">
        <f t="shared" si="11"/>
        <v>0</v>
      </c>
      <c r="J378" s="109"/>
    </row>
    <row r="379" spans="1:10" hidden="1">
      <c r="A379" s="1558"/>
      <c r="B379" s="425"/>
      <c r="C379" s="561"/>
      <c r="D379" s="561"/>
      <c r="E379" s="561"/>
      <c r="F379" s="69"/>
      <c r="G379" s="69"/>
      <c r="H379" s="178">
        <f t="shared" si="10"/>
        <v>0</v>
      </c>
      <c r="I379" s="178">
        <f t="shared" si="11"/>
        <v>0</v>
      </c>
      <c r="J379" s="109"/>
    </row>
    <row r="380" spans="1:10" hidden="1">
      <c r="A380" s="1558"/>
      <c r="B380" s="425"/>
      <c r="C380" s="561"/>
      <c r="D380" s="561"/>
      <c r="E380" s="561"/>
      <c r="F380" s="69"/>
      <c r="G380" s="69"/>
      <c r="H380" s="178">
        <f t="shared" si="10"/>
        <v>0</v>
      </c>
      <c r="I380" s="178">
        <f t="shared" si="11"/>
        <v>0</v>
      </c>
      <c r="J380" s="109"/>
    </row>
    <row r="381" spans="1:10" hidden="1">
      <c r="A381" s="1558"/>
      <c r="B381" s="425"/>
      <c r="C381" s="561"/>
      <c r="D381" s="561"/>
      <c r="E381" s="561"/>
      <c r="F381" s="69"/>
      <c r="G381" s="69"/>
      <c r="H381" s="178">
        <f t="shared" si="10"/>
        <v>0</v>
      </c>
      <c r="I381" s="178">
        <f t="shared" si="11"/>
        <v>0</v>
      </c>
      <c r="J381" s="109"/>
    </row>
    <row r="382" spans="1:10" hidden="1">
      <c r="A382" s="1558"/>
      <c r="B382" s="425"/>
      <c r="C382" s="561"/>
      <c r="D382" s="561"/>
      <c r="E382" s="561"/>
      <c r="F382" s="69"/>
      <c r="G382" s="69"/>
      <c r="H382" s="178">
        <f t="shared" si="10"/>
        <v>0</v>
      </c>
      <c r="I382" s="178">
        <f t="shared" si="11"/>
        <v>0</v>
      </c>
      <c r="J382" s="109"/>
    </row>
    <row r="383" spans="1:10" hidden="1">
      <c r="A383" s="1558"/>
      <c r="B383" s="425"/>
      <c r="C383" s="561"/>
      <c r="D383" s="561"/>
      <c r="E383" s="561"/>
      <c r="F383" s="69"/>
      <c r="G383" s="69"/>
      <c r="H383" s="178">
        <f t="shared" si="10"/>
        <v>0</v>
      </c>
      <c r="I383" s="178">
        <f t="shared" si="11"/>
        <v>0</v>
      </c>
      <c r="J383" s="109"/>
    </row>
    <row r="384" spans="1:10" hidden="1">
      <c r="A384" s="1558"/>
      <c r="B384" s="425"/>
      <c r="C384" s="561"/>
      <c r="D384" s="561"/>
      <c r="E384" s="493"/>
      <c r="F384" s="69"/>
      <c r="G384" s="69"/>
      <c r="H384" s="178">
        <f t="shared" si="10"/>
        <v>0</v>
      </c>
      <c r="I384" s="178">
        <f t="shared" si="11"/>
        <v>0</v>
      </c>
      <c r="J384" s="109"/>
    </row>
    <row r="385" spans="1:10" hidden="1">
      <c r="A385" s="1558"/>
      <c r="B385" s="425"/>
      <c r="C385" s="561"/>
      <c r="D385" s="561"/>
      <c r="E385" s="493"/>
      <c r="F385" s="69"/>
      <c r="G385" s="69"/>
      <c r="H385" s="178">
        <f t="shared" si="10"/>
        <v>0</v>
      </c>
      <c r="I385" s="178">
        <f t="shared" si="11"/>
        <v>0</v>
      </c>
      <c r="J385" s="109"/>
    </row>
    <row r="386" spans="1:10" hidden="1">
      <c r="A386" s="1558"/>
      <c r="B386" s="425"/>
      <c r="C386" s="561"/>
      <c r="D386" s="561"/>
      <c r="E386" s="493"/>
      <c r="F386" s="69"/>
      <c r="G386" s="69"/>
      <c r="H386" s="178">
        <f t="shared" si="10"/>
        <v>0</v>
      </c>
      <c r="I386" s="178">
        <f t="shared" si="11"/>
        <v>0</v>
      </c>
      <c r="J386" s="109"/>
    </row>
    <row r="387" spans="1:10" hidden="1">
      <c r="A387" s="1558"/>
      <c r="B387" s="425"/>
      <c r="C387" s="493"/>
      <c r="D387" s="493"/>
      <c r="E387" s="493"/>
      <c r="F387" s="69"/>
      <c r="G387" s="69"/>
      <c r="H387" s="178">
        <f t="shared" si="10"/>
        <v>0</v>
      </c>
      <c r="I387" s="178">
        <f t="shared" si="11"/>
        <v>0</v>
      </c>
      <c r="J387" s="109"/>
    </row>
    <row r="388" spans="1:10" hidden="1">
      <c r="A388" s="1558"/>
      <c r="B388" s="427"/>
      <c r="C388" s="575"/>
      <c r="D388" s="575"/>
      <c r="E388" s="576"/>
      <c r="F388" s="69"/>
      <c r="G388" s="69"/>
      <c r="H388" s="178">
        <f t="shared" si="10"/>
        <v>0</v>
      </c>
      <c r="I388" s="178">
        <f t="shared" si="11"/>
        <v>0</v>
      </c>
      <c r="J388" s="109"/>
    </row>
    <row r="389" spans="1:10" hidden="1">
      <c r="A389" s="1558"/>
      <c r="B389" s="425"/>
      <c r="C389" s="561"/>
      <c r="D389" s="561"/>
      <c r="E389" s="577"/>
      <c r="F389" s="69"/>
      <c r="G389" s="69"/>
      <c r="H389" s="178">
        <f t="shared" si="10"/>
        <v>0</v>
      </c>
      <c r="I389" s="178">
        <f t="shared" si="11"/>
        <v>0</v>
      </c>
      <c r="J389" s="109"/>
    </row>
    <row r="390" spans="1:10" hidden="1">
      <c r="A390" s="1558"/>
      <c r="B390" s="425"/>
      <c r="C390" s="561"/>
      <c r="D390" s="561"/>
      <c r="E390" s="577"/>
      <c r="F390" s="69"/>
      <c r="G390" s="69"/>
      <c r="H390" s="178">
        <f t="shared" si="10"/>
        <v>0</v>
      </c>
      <c r="I390" s="178">
        <f t="shared" si="11"/>
        <v>0</v>
      </c>
      <c r="J390" s="109"/>
    </row>
    <row r="391" spans="1:10" hidden="1">
      <c r="A391" s="1558"/>
      <c r="B391" s="425"/>
      <c r="C391" s="561"/>
      <c r="D391" s="561"/>
      <c r="E391" s="577"/>
      <c r="F391" s="69"/>
      <c r="G391" s="69"/>
      <c r="H391" s="178">
        <f t="shared" si="10"/>
        <v>0</v>
      </c>
      <c r="I391" s="178">
        <f t="shared" si="11"/>
        <v>0</v>
      </c>
      <c r="J391" s="109"/>
    </row>
    <row r="392" spans="1:10" hidden="1">
      <c r="A392" s="1558"/>
      <c r="B392" s="425"/>
      <c r="C392" s="561"/>
      <c r="D392" s="561"/>
      <c r="E392" s="577"/>
      <c r="F392" s="69"/>
      <c r="G392" s="69"/>
      <c r="H392" s="178">
        <f t="shared" si="10"/>
        <v>0</v>
      </c>
      <c r="I392" s="178">
        <f t="shared" si="11"/>
        <v>0</v>
      </c>
      <c r="J392" s="109"/>
    </row>
    <row r="393" spans="1:10" hidden="1">
      <c r="A393" s="1558"/>
      <c r="B393" s="425"/>
      <c r="C393" s="561"/>
      <c r="D393" s="561"/>
      <c r="E393" s="577"/>
      <c r="F393" s="69"/>
      <c r="G393" s="69"/>
      <c r="H393" s="178">
        <f t="shared" ref="H393:H456" si="12">E393+D393-C393</f>
        <v>0</v>
      </c>
      <c r="I393" s="178">
        <f t="shared" ref="I393:I456" si="13">SUM(C393:E393)</f>
        <v>0</v>
      </c>
      <c r="J393" s="109"/>
    </row>
    <row r="394" spans="1:10" hidden="1">
      <c r="A394" s="1558"/>
      <c r="B394" s="425"/>
      <c r="C394" s="561"/>
      <c r="D394" s="561"/>
      <c r="E394" s="577"/>
      <c r="F394" s="69"/>
      <c r="G394" s="69"/>
      <c r="H394" s="178">
        <f t="shared" si="12"/>
        <v>0</v>
      </c>
      <c r="I394" s="178">
        <f t="shared" si="13"/>
        <v>0</v>
      </c>
      <c r="J394" s="109"/>
    </row>
    <row r="395" spans="1:10" hidden="1">
      <c r="A395" s="1558"/>
      <c r="B395" s="425"/>
      <c r="C395" s="561"/>
      <c r="D395" s="561"/>
      <c r="E395" s="577"/>
      <c r="F395" s="69"/>
      <c r="G395" s="69"/>
      <c r="H395" s="178">
        <f t="shared" si="12"/>
        <v>0</v>
      </c>
      <c r="I395" s="178">
        <f t="shared" si="13"/>
        <v>0</v>
      </c>
      <c r="J395" s="109"/>
    </row>
    <row r="396" spans="1:10" hidden="1">
      <c r="A396" s="1558"/>
      <c r="B396" s="425"/>
      <c r="C396" s="561"/>
      <c r="D396" s="561"/>
      <c r="E396" s="577"/>
      <c r="F396" s="69"/>
      <c r="G396" s="69"/>
      <c r="H396" s="178">
        <f t="shared" si="12"/>
        <v>0</v>
      </c>
      <c r="I396" s="178">
        <f t="shared" si="13"/>
        <v>0</v>
      </c>
      <c r="J396" s="109"/>
    </row>
    <row r="397" spans="1:10" hidden="1">
      <c r="A397" s="1558"/>
      <c r="B397" s="425"/>
      <c r="C397" s="561"/>
      <c r="D397" s="561"/>
      <c r="E397" s="577"/>
      <c r="F397" s="69"/>
      <c r="G397" s="69"/>
      <c r="H397" s="178">
        <f t="shared" si="12"/>
        <v>0</v>
      </c>
      <c r="I397" s="178">
        <f t="shared" si="13"/>
        <v>0</v>
      </c>
      <c r="J397" s="109"/>
    </row>
    <row r="398" spans="1:10" hidden="1">
      <c r="A398" s="1558"/>
      <c r="B398" s="425"/>
      <c r="C398" s="561"/>
      <c r="D398" s="561"/>
      <c r="E398" s="577"/>
      <c r="F398" s="69"/>
      <c r="G398" s="69"/>
      <c r="H398" s="178">
        <f t="shared" si="12"/>
        <v>0</v>
      </c>
      <c r="I398" s="178">
        <f t="shared" si="13"/>
        <v>0</v>
      </c>
      <c r="J398" s="109"/>
    </row>
    <row r="399" spans="1:10" hidden="1">
      <c r="A399" s="1558"/>
      <c r="B399" s="425"/>
      <c r="C399" s="561"/>
      <c r="D399" s="561"/>
      <c r="E399" s="577"/>
      <c r="F399" s="69"/>
      <c r="G399" s="69"/>
      <c r="H399" s="178">
        <f t="shared" si="12"/>
        <v>0</v>
      </c>
      <c r="I399" s="178">
        <f t="shared" si="13"/>
        <v>0</v>
      </c>
      <c r="J399" s="109"/>
    </row>
    <row r="400" spans="1:10" hidden="1">
      <c r="A400" s="1558"/>
      <c r="B400" s="425"/>
      <c r="C400" s="561"/>
      <c r="D400" s="561"/>
      <c r="E400" s="577"/>
      <c r="F400" s="69"/>
      <c r="G400" s="69"/>
      <c r="H400" s="178">
        <f t="shared" si="12"/>
        <v>0</v>
      </c>
      <c r="I400" s="178">
        <f t="shared" si="13"/>
        <v>0</v>
      </c>
      <c r="J400" s="109"/>
    </row>
    <row r="401" spans="1:10" hidden="1">
      <c r="A401" s="1558"/>
      <c r="B401" s="425"/>
      <c r="C401" s="561"/>
      <c r="D401" s="561"/>
      <c r="E401" s="577"/>
      <c r="F401" s="69"/>
      <c r="G401" s="69"/>
      <c r="H401" s="178">
        <f t="shared" si="12"/>
        <v>0</v>
      </c>
      <c r="I401" s="178">
        <f t="shared" si="13"/>
        <v>0</v>
      </c>
      <c r="J401" s="109"/>
    </row>
    <row r="402" spans="1:10" hidden="1">
      <c r="A402" s="1558"/>
      <c r="B402" s="425"/>
      <c r="C402" s="561"/>
      <c r="D402" s="561"/>
      <c r="E402" s="577"/>
      <c r="F402" s="69"/>
      <c r="G402" s="69"/>
      <c r="H402" s="178">
        <f t="shared" si="12"/>
        <v>0</v>
      </c>
      <c r="I402" s="178">
        <f t="shared" si="13"/>
        <v>0</v>
      </c>
      <c r="J402" s="109"/>
    </row>
    <row r="403" spans="1:10" hidden="1">
      <c r="A403" s="1558"/>
      <c r="B403" s="425"/>
      <c r="C403" s="561"/>
      <c r="D403" s="561"/>
      <c r="E403" s="577"/>
      <c r="F403" s="69"/>
      <c r="G403" s="69"/>
      <c r="H403" s="178">
        <f t="shared" si="12"/>
        <v>0</v>
      </c>
      <c r="I403" s="178">
        <f t="shared" si="13"/>
        <v>0</v>
      </c>
      <c r="J403" s="109"/>
    </row>
    <row r="404" spans="1:10" hidden="1">
      <c r="A404" s="1558"/>
      <c r="B404" s="425"/>
      <c r="C404" s="561"/>
      <c r="D404" s="561"/>
      <c r="E404" s="577"/>
      <c r="F404" s="69"/>
      <c r="G404" s="69"/>
      <c r="H404" s="178">
        <f t="shared" si="12"/>
        <v>0</v>
      </c>
      <c r="I404" s="178">
        <f t="shared" si="13"/>
        <v>0</v>
      </c>
      <c r="J404" s="109"/>
    </row>
    <row r="405" spans="1:10" hidden="1">
      <c r="A405" s="1558"/>
      <c r="B405" s="425"/>
      <c r="C405" s="561"/>
      <c r="D405" s="561"/>
      <c r="E405" s="577"/>
      <c r="F405" s="69"/>
      <c r="G405" s="69"/>
      <c r="H405" s="178">
        <f t="shared" si="12"/>
        <v>0</v>
      </c>
      <c r="I405" s="178">
        <f t="shared" si="13"/>
        <v>0</v>
      </c>
      <c r="J405" s="109"/>
    </row>
    <row r="406" spans="1:10" hidden="1">
      <c r="A406" s="1558"/>
      <c r="B406" s="425"/>
      <c r="C406" s="561"/>
      <c r="D406" s="561"/>
      <c r="E406" s="577"/>
      <c r="F406" s="69"/>
      <c r="G406" s="69"/>
      <c r="H406" s="178">
        <f t="shared" si="12"/>
        <v>0</v>
      </c>
      <c r="I406" s="178">
        <f t="shared" si="13"/>
        <v>0</v>
      </c>
      <c r="J406" s="109"/>
    </row>
    <row r="407" spans="1:10" hidden="1">
      <c r="A407" s="1558"/>
      <c r="B407" s="425"/>
      <c r="C407" s="561"/>
      <c r="D407" s="561"/>
      <c r="E407" s="577"/>
      <c r="F407" s="69"/>
      <c r="G407" s="69"/>
      <c r="H407" s="178">
        <f t="shared" si="12"/>
        <v>0</v>
      </c>
      <c r="I407" s="178">
        <f t="shared" si="13"/>
        <v>0</v>
      </c>
      <c r="J407" s="109"/>
    </row>
    <row r="408" spans="1:10" hidden="1">
      <c r="A408" s="1558"/>
      <c r="B408" s="425"/>
      <c r="C408" s="561"/>
      <c r="D408" s="561"/>
      <c r="E408" s="577"/>
      <c r="F408" s="69"/>
      <c r="G408" s="69"/>
      <c r="H408" s="178">
        <f t="shared" si="12"/>
        <v>0</v>
      </c>
      <c r="I408" s="178">
        <f t="shared" si="13"/>
        <v>0</v>
      </c>
      <c r="J408" s="109"/>
    </row>
    <row r="409" spans="1:10" hidden="1">
      <c r="A409" s="1558"/>
      <c r="B409" s="425"/>
      <c r="C409" s="561"/>
      <c r="D409" s="561"/>
      <c r="E409" s="577"/>
      <c r="F409" s="69"/>
      <c r="G409" s="69"/>
      <c r="H409" s="178">
        <f t="shared" si="12"/>
        <v>0</v>
      </c>
      <c r="I409" s="178">
        <f t="shared" si="13"/>
        <v>0</v>
      </c>
      <c r="J409" s="109"/>
    </row>
    <row r="410" spans="1:10" hidden="1">
      <c r="A410" s="1558"/>
      <c r="B410" s="425"/>
      <c r="C410" s="561"/>
      <c r="D410" s="561"/>
      <c r="E410" s="577"/>
      <c r="F410" s="69"/>
      <c r="G410" s="69"/>
      <c r="H410" s="178">
        <f t="shared" si="12"/>
        <v>0</v>
      </c>
      <c r="I410" s="178">
        <f t="shared" si="13"/>
        <v>0</v>
      </c>
      <c r="J410" s="109"/>
    </row>
    <row r="411" spans="1:10" hidden="1">
      <c r="A411" s="1558"/>
      <c r="B411" s="425"/>
      <c r="C411" s="561"/>
      <c r="D411" s="561"/>
      <c r="E411" s="577"/>
      <c r="F411" s="69"/>
      <c r="G411" s="69"/>
      <c r="H411" s="178">
        <f t="shared" si="12"/>
        <v>0</v>
      </c>
      <c r="I411" s="178">
        <f t="shared" si="13"/>
        <v>0</v>
      </c>
      <c r="J411" s="109"/>
    </row>
    <row r="412" spans="1:10" hidden="1">
      <c r="A412" s="1558"/>
      <c r="B412" s="425"/>
      <c r="C412" s="561"/>
      <c r="D412" s="561"/>
      <c r="E412" s="577"/>
      <c r="F412" s="69"/>
      <c r="G412" s="69"/>
      <c r="H412" s="178">
        <f t="shared" si="12"/>
        <v>0</v>
      </c>
      <c r="I412" s="178">
        <f t="shared" si="13"/>
        <v>0</v>
      </c>
      <c r="J412" s="109"/>
    </row>
    <row r="413" spans="1:10" hidden="1">
      <c r="A413" s="1558"/>
      <c r="B413" s="428" t="s">
        <v>985</v>
      </c>
      <c r="C413" s="559">
        <f>SUM(C373:C412)</f>
        <v>0</v>
      </c>
      <c r="D413" s="559">
        <f>SUM(D373:D412)</f>
        <v>0</v>
      </c>
      <c r="E413" s="559">
        <f>SUM(E373:E412)</f>
        <v>0</v>
      </c>
      <c r="F413" s="115">
        <f>SUM(F373:F374)</f>
        <v>0</v>
      </c>
      <c r="G413" s="115">
        <f>SUM(G373:G374)</f>
        <v>0</v>
      </c>
      <c r="H413" s="178">
        <f t="shared" si="12"/>
        <v>0</v>
      </c>
      <c r="I413" s="178">
        <f t="shared" si="13"/>
        <v>0</v>
      </c>
      <c r="J413" s="109"/>
    </row>
    <row r="414" spans="1:10" s="622" customFormat="1" hidden="1">
      <c r="A414" s="1558" t="s">
        <v>209</v>
      </c>
      <c r="B414" s="617"/>
      <c r="C414" s="618"/>
      <c r="D414" s="618"/>
      <c r="E414" s="618"/>
      <c r="F414" s="619"/>
      <c r="G414" s="619"/>
      <c r="H414" s="178">
        <f t="shared" si="12"/>
        <v>0</v>
      </c>
      <c r="I414" s="178">
        <f t="shared" si="13"/>
        <v>0</v>
      </c>
      <c r="J414" s="621"/>
    </row>
    <row r="415" spans="1:10" hidden="1">
      <c r="A415" s="1558"/>
      <c r="B415" s="425"/>
      <c r="C415" s="561"/>
      <c r="D415" s="561"/>
      <c r="E415" s="493"/>
      <c r="F415" s="180"/>
      <c r="G415" s="180"/>
      <c r="H415" s="178">
        <f t="shared" si="12"/>
        <v>0</v>
      </c>
      <c r="I415" s="178">
        <f t="shared" si="13"/>
        <v>0</v>
      </c>
      <c r="J415" s="109"/>
    </row>
    <row r="416" spans="1:10" hidden="1">
      <c r="A416" s="1558"/>
      <c r="B416" s="425"/>
      <c r="C416" s="561"/>
      <c r="D416" s="493"/>
      <c r="E416" s="561"/>
      <c r="F416" s="69"/>
      <c r="G416" s="69"/>
      <c r="H416" s="178">
        <f t="shared" si="12"/>
        <v>0</v>
      </c>
      <c r="I416" s="178">
        <f t="shared" si="13"/>
        <v>0</v>
      </c>
      <c r="J416" s="109"/>
    </row>
    <row r="417" spans="1:10" hidden="1">
      <c r="A417" s="1558"/>
      <c r="B417" s="425"/>
      <c r="C417" s="561"/>
      <c r="D417" s="493"/>
      <c r="E417" s="561"/>
      <c r="F417" s="69"/>
      <c r="G417" s="69"/>
      <c r="H417" s="178">
        <f t="shared" si="12"/>
        <v>0</v>
      </c>
      <c r="I417" s="178">
        <f t="shared" si="13"/>
        <v>0</v>
      </c>
      <c r="J417" s="109"/>
    </row>
    <row r="418" spans="1:10" hidden="1">
      <c r="A418" s="1558"/>
      <c r="B418" s="425"/>
      <c r="C418" s="561"/>
      <c r="D418" s="561"/>
      <c r="E418" s="493"/>
      <c r="F418" s="69"/>
      <c r="G418" s="69"/>
      <c r="H418" s="178">
        <f t="shared" si="12"/>
        <v>0</v>
      </c>
      <c r="I418" s="178">
        <f t="shared" si="13"/>
        <v>0</v>
      </c>
      <c r="J418" s="109"/>
    </row>
    <row r="419" spans="1:10" hidden="1">
      <c r="A419" s="1558"/>
      <c r="B419" s="425"/>
      <c r="C419" s="561"/>
      <c r="D419" s="561"/>
      <c r="E419" s="493"/>
      <c r="F419" s="69"/>
      <c r="G419" s="69"/>
      <c r="H419" s="178">
        <f t="shared" si="12"/>
        <v>0</v>
      </c>
      <c r="I419" s="178">
        <f t="shared" si="13"/>
        <v>0</v>
      </c>
      <c r="J419" s="109"/>
    </row>
    <row r="420" spans="1:10" hidden="1">
      <c r="A420" s="1558"/>
      <c r="B420" s="425"/>
      <c r="C420" s="561"/>
      <c r="D420" s="561"/>
      <c r="E420" s="493"/>
      <c r="F420" s="69"/>
      <c r="G420" s="69"/>
      <c r="H420" s="178">
        <f t="shared" si="12"/>
        <v>0</v>
      </c>
      <c r="I420" s="178">
        <f t="shared" si="13"/>
        <v>0</v>
      </c>
      <c r="J420" s="109"/>
    </row>
    <row r="421" spans="1:10" hidden="1">
      <c r="A421" s="1558"/>
      <c r="B421" s="425"/>
      <c r="C421" s="561"/>
      <c r="D421" s="561"/>
      <c r="E421" s="493"/>
      <c r="F421" s="69"/>
      <c r="G421" s="69"/>
      <c r="H421" s="178">
        <f t="shared" si="12"/>
        <v>0</v>
      </c>
      <c r="I421" s="178">
        <f t="shared" si="13"/>
        <v>0</v>
      </c>
      <c r="J421" s="109"/>
    </row>
    <row r="422" spans="1:10" hidden="1">
      <c r="A422" s="1558"/>
      <c r="B422" s="425"/>
      <c r="C422" s="561"/>
      <c r="D422" s="561"/>
      <c r="E422" s="577"/>
      <c r="F422" s="69"/>
      <c r="G422" s="69"/>
      <c r="H422" s="178">
        <f t="shared" si="12"/>
        <v>0</v>
      </c>
      <c r="I422" s="178">
        <f t="shared" si="13"/>
        <v>0</v>
      </c>
      <c r="J422" s="109"/>
    </row>
    <row r="423" spans="1:10" hidden="1">
      <c r="A423" s="1558"/>
      <c r="B423" s="427"/>
      <c r="C423" s="575"/>
      <c r="D423" s="575"/>
      <c r="E423" s="576"/>
      <c r="F423" s="69"/>
      <c r="G423" s="69"/>
      <c r="H423" s="178">
        <f t="shared" si="12"/>
        <v>0</v>
      </c>
      <c r="I423" s="178">
        <f t="shared" si="13"/>
        <v>0</v>
      </c>
      <c r="J423" s="109"/>
    </row>
    <row r="424" spans="1:10" hidden="1">
      <c r="A424" s="1558"/>
      <c r="B424" s="427"/>
      <c r="C424" s="578"/>
      <c r="D424" s="578"/>
      <c r="E424" s="579"/>
      <c r="F424" s="69"/>
      <c r="G424" s="69"/>
      <c r="H424" s="178">
        <f t="shared" si="12"/>
        <v>0</v>
      </c>
      <c r="I424" s="178">
        <f t="shared" si="13"/>
        <v>0</v>
      </c>
      <c r="J424" s="109"/>
    </row>
    <row r="425" spans="1:10" hidden="1">
      <c r="A425" s="1558"/>
      <c r="B425" s="427"/>
      <c r="C425" s="578"/>
      <c r="D425" s="578"/>
      <c r="E425" s="579"/>
      <c r="F425" s="69"/>
      <c r="G425" s="69"/>
      <c r="H425" s="178">
        <f t="shared" si="12"/>
        <v>0</v>
      </c>
      <c r="I425" s="178">
        <f t="shared" si="13"/>
        <v>0</v>
      </c>
      <c r="J425" s="109"/>
    </row>
    <row r="426" spans="1:10" hidden="1">
      <c r="A426" s="1558"/>
      <c r="B426" s="425"/>
      <c r="C426" s="561"/>
      <c r="D426" s="561"/>
      <c r="E426" s="577"/>
      <c r="F426" s="69"/>
      <c r="G426" s="69"/>
      <c r="H426" s="178">
        <f t="shared" si="12"/>
        <v>0</v>
      </c>
      <c r="I426" s="178">
        <f t="shared" si="13"/>
        <v>0</v>
      </c>
      <c r="J426" s="109"/>
    </row>
    <row r="427" spans="1:10" hidden="1">
      <c r="A427" s="1558"/>
      <c r="B427" s="425"/>
      <c r="C427" s="561"/>
      <c r="D427" s="561"/>
      <c r="E427" s="577"/>
      <c r="F427" s="69"/>
      <c r="G427" s="69"/>
      <c r="H427" s="178">
        <f t="shared" si="12"/>
        <v>0</v>
      </c>
      <c r="I427" s="178">
        <f t="shared" si="13"/>
        <v>0</v>
      </c>
      <c r="J427" s="109"/>
    </row>
    <row r="428" spans="1:10" hidden="1">
      <c r="A428" s="1558"/>
      <c r="B428" s="425"/>
      <c r="C428" s="561"/>
      <c r="D428" s="561"/>
      <c r="E428" s="577"/>
      <c r="F428" s="69"/>
      <c r="G428" s="69"/>
      <c r="H428" s="178">
        <f t="shared" si="12"/>
        <v>0</v>
      </c>
      <c r="I428" s="178">
        <f t="shared" si="13"/>
        <v>0</v>
      </c>
      <c r="J428" s="109"/>
    </row>
    <row r="429" spans="1:10" hidden="1">
      <c r="A429" s="1558"/>
      <c r="B429" s="425"/>
      <c r="C429" s="561"/>
      <c r="D429" s="561"/>
      <c r="E429" s="577"/>
      <c r="F429" s="69"/>
      <c r="G429" s="69"/>
      <c r="H429" s="178">
        <f t="shared" si="12"/>
        <v>0</v>
      </c>
      <c r="I429" s="178">
        <f t="shared" si="13"/>
        <v>0</v>
      </c>
      <c r="J429" s="109"/>
    </row>
    <row r="430" spans="1:10" hidden="1">
      <c r="A430" s="1558"/>
      <c r="B430" s="425"/>
      <c r="C430" s="561"/>
      <c r="D430" s="561"/>
      <c r="E430" s="577"/>
      <c r="F430" s="69"/>
      <c r="G430" s="69"/>
      <c r="H430" s="178">
        <f t="shared" si="12"/>
        <v>0</v>
      </c>
      <c r="I430" s="178">
        <f t="shared" si="13"/>
        <v>0</v>
      </c>
      <c r="J430" s="109"/>
    </row>
    <row r="431" spans="1:10" hidden="1">
      <c r="A431" s="1558"/>
      <c r="B431" s="425"/>
      <c r="C431" s="561"/>
      <c r="D431" s="561"/>
      <c r="E431" s="577"/>
      <c r="F431" s="69"/>
      <c r="G431" s="69"/>
      <c r="H431" s="178">
        <f t="shared" si="12"/>
        <v>0</v>
      </c>
      <c r="I431" s="178">
        <f t="shared" si="13"/>
        <v>0</v>
      </c>
      <c r="J431" s="109"/>
    </row>
    <row r="432" spans="1:10" hidden="1">
      <c r="A432" s="1558"/>
      <c r="B432" s="425"/>
      <c r="C432" s="561"/>
      <c r="D432" s="561"/>
      <c r="E432" s="577"/>
      <c r="F432" s="69"/>
      <c r="G432" s="69"/>
      <c r="H432" s="178">
        <f t="shared" si="12"/>
        <v>0</v>
      </c>
      <c r="I432" s="178">
        <f t="shared" si="13"/>
        <v>0</v>
      </c>
      <c r="J432" s="109"/>
    </row>
    <row r="433" spans="1:11" hidden="1">
      <c r="A433" s="1558"/>
      <c r="B433" s="425"/>
      <c r="C433" s="561"/>
      <c r="D433" s="561"/>
      <c r="E433" s="577"/>
      <c r="F433" s="69"/>
      <c r="G433" s="69"/>
      <c r="H433" s="178">
        <f t="shared" si="12"/>
        <v>0</v>
      </c>
      <c r="I433" s="178">
        <f t="shared" si="13"/>
        <v>0</v>
      </c>
      <c r="J433" s="109"/>
    </row>
    <row r="434" spans="1:11" hidden="1">
      <c r="A434" s="1558"/>
      <c r="B434" s="425"/>
      <c r="C434" s="561"/>
      <c r="D434" s="561"/>
      <c r="E434" s="577"/>
      <c r="F434" s="69"/>
      <c r="G434" s="69"/>
      <c r="H434" s="178">
        <f t="shared" si="12"/>
        <v>0</v>
      </c>
      <c r="I434" s="178">
        <f t="shared" si="13"/>
        <v>0</v>
      </c>
      <c r="J434" s="109"/>
    </row>
    <row r="435" spans="1:11" hidden="1">
      <c r="A435" s="1558"/>
      <c r="B435" s="425"/>
      <c r="C435" s="561"/>
      <c r="D435" s="561"/>
      <c r="E435" s="577"/>
      <c r="F435" s="69"/>
      <c r="G435" s="69"/>
      <c r="H435" s="178">
        <f t="shared" si="12"/>
        <v>0</v>
      </c>
      <c r="I435" s="178">
        <f t="shared" si="13"/>
        <v>0</v>
      </c>
      <c r="J435" s="109"/>
    </row>
    <row r="436" spans="1:11" hidden="1">
      <c r="A436" s="1558"/>
      <c r="B436" s="425"/>
      <c r="C436" s="561"/>
      <c r="D436" s="561"/>
      <c r="E436" s="577"/>
      <c r="F436" s="69"/>
      <c r="G436" s="69"/>
      <c r="H436" s="178">
        <f t="shared" si="12"/>
        <v>0</v>
      </c>
      <c r="I436" s="178">
        <f t="shared" si="13"/>
        <v>0</v>
      </c>
      <c r="J436" s="109"/>
    </row>
    <row r="437" spans="1:11" hidden="1">
      <c r="A437" s="1558"/>
      <c r="B437" s="425"/>
      <c r="C437" s="561"/>
      <c r="D437" s="561"/>
      <c r="E437" s="577"/>
      <c r="F437" s="69"/>
      <c r="G437" s="69"/>
      <c r="H437" s="178">
        <f t="shared" si="12"/>
        <v>0</v>
      </c>
      <c r="I437" s="178">
        <f t="shared" si="13"/>
        <v>0</v>
      </c>
      <c r="J437" s="109"/>
    </row>
    <row r="438" spans="1:11" hidden="1">
      <c r="A438" s="1558"/>
      <c r="B438" s="425"/>
      <c r="C438" s="561"/>
      <c r="D438" s="561"/>
      <c r="E438" s="577"/>
      <c r="F438" s="69"/>
      <c r="G438" s="69"/>
      <c r="H438" s="178">
        <f t="shared" si="12"/>
        <v>0</v>
      </c>
      <c r="I438" s="178">
        <f t="shared" si="13"/>
        <v>0</v>
      </c>
      <c r="J438" s="109"/>
    </row>
    <row r="439" spans="1:11" hidden="1">
      <c r="A439" s="1558"/>
      <c r="B439" s="425"/>
      <c r="C439" s="561"/>
      <c r="D439" s="561"/>
      <c r="E439" s="577"/>
      <c r="F439" s="69"/>
      <c r="G439" s="69"/>
      <c r="H439" s="178">
        <f t="shared" si="12"/>
        <v>0</v>
      </c>
      <c r="I439" s="178">
        <f t="shared" si="13"/>
        <v>0</v>
      </c>
      <c r="J439" s="109"/>
    </row>
    <row r="440" spans="1:11" hidden="1">
      <c r="A440" s="1558"/>
      <c r="B440" s="425"/>
      <c r="C440" s="561"/>
      <c r="D440" s="561"/>
      <c r="E440" s="577"/>
      <c r="F440" s="69"/>
      <c r="G440" s="69"/>
      <c r="H440" s="178">
        <f t="shared" si="12"/>
        <v>0</v>
      </c>
      <c r="I440" s="178">
        <f t="shared" si="13"/>
        <v>0</v>
      </c>
      <c r="J440" s="109"/>
    </row>
    <row r="441" spans="1:11" hidden="1">
      <c r="A441" s="1558"/>
      <c r="B441" s="425"/>
      <c r="C441" s="561"/>
      <c r="D441" s="561"/>
      <c r="E441" s="577"/>
      <c r="F441" s="69"/>
      <c r="G441" s="69"/>
      <c r="H441" s="178">
        <f t="shared" si="12"/>
        <v>0</v>
      </c>
      <c r="I441" s="178">
        <f t="shared" si="13"/>
        <v>0</v>
      </c>
      <c r="J441" s="109"/>
    </row>
    <row r="442" spans="1:11" hidden="1">
      <c r="A442" s="1558"/>
      <c r="B442" s="425"/>
      <c r="C442" s="561"/>
      <c r="D442" s="561"/>
      <c r="E442" s="577"/>
      <c r="F442" s="69"/>
      <c r="G442" s="69"/>
      <c r="H442" s="178">
        <f t="shared" si="12"/>
        <v>0</v>
      </c>
      <c r="I442" s="178">
        <f t="shared" si="13"/>
        <v>0</v>
      </c>
      <c r="J442" s="109"/>
    </row>
    <row r="443" spans="1:11" hidden="1">
      <c r="A443" s="1558"/>
      <c r="B443" s="425"/>
      <c r="C443" s="561"/>
      <c r="D443" s="561"/>
      <c r="E443" s="577"/>
      <c r="F443" s="69"/>
      <c r="G443" s="69"/>
      <c r="H443" s="178">
        <f t="shared" si="12"/>
        <v>0</v>
      </c>
      <c r="I443" s="178">
        <f t="shared" si="13"/>
        <v>0</v>
      </c>
      <c r="J443" s="109"/>
    </row>
    <row r="444" spans="1:11" hidden="1">
      <c r="A444" s="1558"/>
      <c r="B444" s="425"/>
      <c r="C444" s="561"/>
      <c r="D444" s="561"/>
      <c r="E444" s="577"/>
      <c r="F444" s="69"/>
      <c r="G444" s="69"/>
      <c r="H444" s="178">
        <f t="shared" si="12"/>
        <v>0</v>
      </c>
      <c r="I444" s="178">
        <f t="shared" si="13"/>
        <v>0</v>
      </c>
      <c r="J444" s="109"/>
    </row>
    <row r="445" spans="1:11" hidden="1">
      <c r="A445" s="1558"/>
      <c r="B445" s="425"/>
      <c r="C445" s="561"/>
      <c r="D445" s="561"/>
      <c r="E445" s="577"/>
      <c r="F445" s="69"/>
      <c r="G445" s="69"/>
      <c r="H445" s="178">
        <f t="shared" si="12"/>
        <v>0</v>
      </c>
      <c r="I445" s="178">
        <f t="shared" si="13"/>
        <v>0</v>
      </c>
      <c r="J445" s="109"/>
    </row>
    <row r="446" spans="1:11" hidden="1">
      <c r="A446" s="1558"/>
      <c r="B446" s="428" t="s">
        <v>985</v>
      </c>
      <c r="C446" s="559">
        <f>SUM(C414:C445)</f>
        <v>0</v>
      </c>
      <c r="D446" s="559">
        <f>SUM(D414:D445)</f>
        <v>0</v>
      </c>
      <c r="E446" s="559">
        <f>SUM(E414:E445)</f>
        <v>0</v>
      </c>
      <c r="F446" s="115">
        <f>SUM(F414:F420)</f>
        <v>0</v>
      </c>
      <c r="G446" s="115">
        <f>SUM(G414:G420)</f>
        <v>0</v>
      </c>
      <c r="H446" s="178">
        <f t="shared" si="12"/>
        <v>0</v>
      </c>
      <c r="I446" s="178">
        <f t="shared" si="13"/>
        <v>0</v>
      </c>
      <c r="J446" s="109"/>
    </row>
    <row r="447" spans="1:11" ht="37.5">
      <c r="A447" s="1558" t="s">
        <v>1148</v>
      </c>
      <c r="B447" s="1175" t="s">
        <v>1264</v>
      </c>
      <c r="C447" s="1182">
        <v>1000000</v>
      </c>
      <c r="D447" s="1182"/>
      <c r="E447" s="1182">
        <v>1000000</v>
      </c>
      <c r="F447" s="1189"/>
      <c r="G447" s="1189"/>
      <c r="H447" s="1436">
        <f t="shared" si="12"/>
        <v>0</v>
      </c>
      <c r="I447" s="1436">
        <f t="shared" si="13"/>
        <v>2000000</v>
      </c>
      <c r="J447" s="1439"/>
      <c r="K447" s="1435"/>
    </row>
    <row r="448" spans="1:11" s="765" customFormat="1" hidden="1">
      <c r="A448" s="1558"/>
      <c r="B448" s="755"/>
      <c r="C448" s="757"/>
      <c r="D448" s="757"/>
      <c r="E448" s="757"/>
      <c r="F448" s="763"/>
      <c r="G448" s="763"/>
      <c r="H448" s="178">
        <f t="shared" si="12"/>
        <v>0</v>
      </c>
      <c r="I448" s="178">
        <f t="shared" si="13"/>
        <v>0</v>
      </c>
      <c r="J448" s="764"/>
    </row>
    <row r="449" spans="1:10" hidden="1">
      <c r="A449" s="1558"/>
      <c r="B449" s="541"/>
      <c r="C449" s="586"/>
      <c r="D449" s="586"/>
      <c r="E449" s="586"/>
      <c r="F449" s="69"/>
      <c r="G449" s="69"/>
      <c r="H449" s="178">
        <f t="shared" si="12"/>
        <v>0</v>
      </c>
      <c r="I449" s="178">
        <f t="shared" si="13"/>
        <v>0</v>
      </c>
      <c r="J449" s="109"/>
    </row>
    <row r="450" spans="1:10" hidden="1">
      <c r="A450" s="1558"/>
      <c r="B450" s="425"/>
      <c r="C450" s="561"/>
      <c r="D450" s="493"/>
      <c r="E450" s="561"/>
      <c r="F450" s="69"/>
      <c r="G450" s="69"/>
      <c r="H450" s="178">
        <f t="shared" si="12"/>
        <v>0</v>
      </c>
      <c r="I450" s="178">
        <f t="shared" si="13"/>
        <v>0</v>
      </c>
      <c r="J450" s="109"/>
    </row>
    <row r="451" spans="1:10" hidden="1">
      <c r="A451" s="1558"/>
      <c r="B451" s="425"/>
      <c r="C451" s="561"/>
      <c r="D451" s="561"/>
      <c r="E451" s="493"/>
      <c r="F451" s="69"/>
      <c r="G451" s="69"/>
      <c r="H451" s="178">
        <f t="shared" si="12"/>
        <v>0</v>
      </c>
      <c r="I451" s="178">
        <f t="shared" si="13"/>
        <v>0</v>
      </c>
      <c r="J451" s="109"/>
    </row>
    <row r="452" spans="1:10" hidden="1">
      <c r="A452" s="1558"/>
      <c r="B452" s="425"/>
      <c r="C452" s="561"/>
      <c r="D452" s="493"/>
      <c r="E452" s="561"/>
      <c r="F452" s="69"/>
      <c r="G452" s="69"/>
      <c r="H452" s="178">
        <f t="shared" si="12"/>
        <v>0</v>
      </c>
      <c r="I452" s="178">
        <f t="shared" si="13"/>
        <v>0</v>
      </c>
      <c r="J452" s="109"/>
    </row>
    <row r="453" spans="1:10" hidden="1">
      <c r="A453" s="1558"/>
      <c r="B453" s="425"/>
      <c r="C453" s="561"/>
      <c r="D453" s="561"/>
      <c r="E453" s="493"/>
      <c r="F453" s="69"/>
      <c r="G453" s="69"/>
      <c r="H453" s="178">
        <f t="shared" si="12"/>
        <v>0</v>
      </c>
      <c r="I453" s="178">
        <f t="shared" si="13"/>
        <v>0</v>
      </c>
      <c r="J453" s="109"/>
    </row>
    <row r="454" spans="1:10" hidden="1">
      <c r="A454" s="1558"/>
      <c r="B454" s="425"/>
      <c r="C454" s="561"/>
      <c r="D454" s="561"/>
      <c r="E454" s="561"/>
      <c r="F454" s="69"/>
      <c r="G454" s="69"/>
      <c r="H454" s="178">
        <f t="shared" si="12"/>
        <v>0</v>
      </c>
      <c r="I454" s="178">
        <f t="shared" si="13"/>
        <v>0</v>
      </c>
      <c r="J454" s="109"/>
    </row>
    <row r="455" spans="1:10" hidden="1">
      <c r="A455" s="1558"/>
      <c r="B455" s="425"/>
      <c r="C455" s="561"/>
      <c r="D455" s="561"/>
      <c r="E455" s="561"/>
      <c r="F455" s="69"/>
      <c r="G455" s="69"/>
      <c r="H455" s="178">
        <f t="shared" si="12"/>
        <v>0</v>
      </c>
      <c r="I455" s="178">
        <f t="shared" si="13"/>
        <v>0</v>
      </c>
      <c r="J455" s="109"/>
    </row>
    <row r="456" spans="1:10" hidden="1">
      <c r="A456" s="1558"/>
      <c r="B456" s="425"/>
      <c r="C456" s="561"/>
      <c r="D456" s="561"/>
      <c r="E456" s="561"/>
      <c r="F456" s="69"/>
      <c r="G456" s="69"/>
      <c r="H456" s="178">
        <f t="shared" si="12"/>
        <v>0</v>
      </c>
      <c r="I456" s="178">
        <f t="shared" si="13"/>
        <v>0</v>
      </c>
      <c r="J456" s="109"/>
    </row>
    <row r="457" spans="1:10" hidden="1">
      <c r="A457" s="1558"/>
      <c r="B457" s="425"/>
      <c r="C457" s="561"/>
      <c r="D457" s="561"/>
      <c r="E457" s="561"/>
      <c r="F457" s="69"/>
      <c r="G457" s="69"/>
      <c r="H457" s="178">
        <f t="shared" ref="H457:H520" si="14">E457+D457-C457</f>
        <v>0</v>
      </c>
      <c r="I457" s="178">
        <f t="shared" ref="I457:I520" si="15">SUM(C457:E457)</f>
        <v>0</v>
      </c>
      <c r="J457" s="109"/>
    </row>
    <row r="458" spans="1:10" hidden="1">
      <c r="A458" s="1558"/>
      <c r="B458" s="425"/>
      <c r="C458" s="561"/>
      <c r="D458" s="561"/>
      <c r="E458" s="561"/>
      <c r="F458" s="69"/>
      <c r="G458" s="69"/>
      <c r="H458" s="178">
        <f t="shared" si="14"/>
        <v>0</v>
      </c>
      <c r="I458" s="178">
        <f t="shared" si="15"/>
        <v>0</v>
      </c>
      <c r="J458" s="109"/>
    </row>
    <row r="459" spans="1:10" hidden="1">
      <c r="A459" s="1558"/>
      <c r="B459" s="425"/>
      <c r="C459" s="561"/>
      <c r="D459" s="561"/>
      <c r="E459" s="561"/>
      <c r="F459" s="69"/>
      <c r="G459" s="69"/>
      <c r="H459" s="178">
        <f t="shared" si="14"/>
        <v>0</v>
      </c>
      <c r="I459" s="178">
        <f t="shared" si="15"/>
        <v>0</v>
      </c>
      <c r="J459" s="109"/>
    </row>
    <row r="460" spans="1:10" hidden="1">
      <c r="A460" s="1558"/>
      <c r="B460" s="425"/>
      <c r="C460" s="561"/>
      <c r="D460" s="561"/>
      <c r="E460" s="561"/>
      <c r="F460" s="69"/>
      <c r="G460" s="69"/>
      <c r="H460" s="178">
        <f t="shared" si="14"/>
        <v>0</v>
      </c>
      <c r="I460" s="178">
        <f t="shared" si="15"/>
        <v>0</v>
      </c>
      <c r="J460" s="109"/>
    </row>
    <row r="461" spans="1:10" hidden="1">
      <c r="A461" s="1558"/>
      <c r="B461" s="425"/>
      <c r="C461" s="561"/>
      <c r="D461" s="561"/>
      <c r="E461" s="561"/>
      <c r="F461" s="69"/>
      <c r="G461" s="69"/>
      <c r="H461" s="178">
        <f t="shared" si="14"/>
        <v>0</v>
      </c>
      <c r="I461" s="178">
        <f t="shared" si="15"/>
        <v>0</v>
      </c>
      <c r="J461" s="109"/>
    </row>
    <row r="462" spans="1:10" hidden="1">
      <c r="A462" s="1558"/>
      <c r="B462" s="425"/>
      <c r="C462" s="561"/>
      <c r="D462" s="561"/>
      <c r="E462" s="561"/>
      <c r="F462" s="69"/>
      <c r="G462" s="69"/>
      <c r="H462" s="178">
        <f t="shared" si="14"/>
        <v>0</v>
      </c>
      <c r="I462" s="178">
        <f t="shared" si="15"/>
        <v>0</v>
      </c>
      <c r="J462" s="109"/>
    </row>
    <row r="463" spans="1:10" hidden="1">
      <c r="A463" s="1558"/>
      <c r="B463" s="425"/>
      <c r="C463" s="561"/>
      <c r="D463" s="493"/>
      <c r="E463" s="493"/>
      <c r="F463" s="69"/>
      <c r="G463" s="69"/>
      <c r="H463" s="178">
        <f t="shared" si="14"/>
        <v>0</v>
      </c>
      <c r="I463" s="178">
        <f t="shared" si="15"/>
        <v>0</v>
      </c>
      <c r="J463" s="109"/>
    </row>
    <row r="464" spans="1:10" hidden="1">
      <c r="A464" s="1558"/>
      <c r="B464" s="425"/>
      <c r="C464" s="561"/>
      <c r="D464" s="561"/>
      <c r="E464" s="493"/>
      <c r="F464" s="69"/>
      <c r="G464" s="69"/>
      <c r="H464" s="178">
        <f t="shared" si="14"/>
        <v>0</v>
      </c>
      <c r="I464" s="178">
        <f t="shared" si="15"/>
        <v>0</v>
      </c>
      <c r="J464" s="109"/>
    </row>
    <row r="465" spans="1:10" hidden="1">
      <c r="A465" s="1558"/>
      <c r="B465" s="425"/>
      <c r="C465" s="561"/>
      <c r="D465" s="561"/>
      <c r="E465" s="493"/>
      <c r="F465" s="69"/>
      <c r="G465" s="69"/>
      <c r="H465" s="178">
        <f t="shared" si="14"/>
        <v>0</v>
      </c>
      <c r="I465" s="178">
        <f t="shared" si="15"/>
        <v>0</v>
      </c>
      <c r="J465" s="109"/>
    </row>
    <row r="466" spans="1:10" hidden="1">
      <c r="A466" s="1558"/>
      <c r="B466" s="425"/>
      <c r="C466" s="561"/>
      <c r="D466" s="561"/>
      <c r="E466" s="493"/>
      <c r="F466" s="69"/>
      <c r="G466" s="69"/>
      <c r="H466" s="178">
        <f t="shared" si="14"/>
        <v>0</v>
      </c>
      <c r="I466" s="178">
        <f t="shared" si="15"/>
        <v>0</v>
      </c>
      <c r="J466" s="109"/>
    </row>
    <row r="467" spans="1:10" hidden="1">
      <c r="A467" s="1558"/>
      <c r="B467" s="425"/>
      <c r="C467" s="561"/>
      <c r="D467" s="561"/>
      <c r="E467" s="493"/>
      <c r="F467" s="69"/>
      <c r="G467" s="69"/>
      <c r="H467" s="178">
        <f t="shared" si="14"/>
        <v>0</v>
      </c>
      <c r="I467" s="178">
        <f t="shared" si="15"/>
        <v>0</v>
      </c>
      <c r="J467" s="109"/>
    </row>
    <row r="468" spans="1:10" hidden="1">
      <c r="A468" s="1558"/>
      <c r="B468" s="425"/>
      <c r="C468" s="561"/>
      <c r="D468" s="561"/>
      <c r="E468" s="493"/>
      <c r="F468" s="69"/>
      <c r="G468" s="69"/>
      <c r="H468" s="178">
        <f t="shared" si="14"/>
        <v>0</v>
      </c>
      <c r="I468" s="178">
        <f t="shared" si="15"/>
        <v>0</v>
      </c>
      <c r="J468" s="109"/>
    </row>
    <row r="469" spans="1:10" hidden="1">
      <c r="A469" s="1558"/>
      <c r="B469" s="425"/>
      <c r="C469" s="561"/>
      <c r="D469" s="561"/>
      <c r="E469" s="493"/>
      <c r="F469" s="69"/>
      <c r="G469" s="69"/>
      <c r="H469" s="178">
        <f t="shared" si="14"/>
        <v>0</v>
      </c>
      <c r="I469" s="178">
        <f t="shared" si="15"/>
        <v>0</v>
      </c>
      <c r="J469" s="109"/>
    </row>
    <row r="470" spans="1:10" hidden="1">
      <c r="A470" s="1558"/>
      <c r="B470" s="425"/>
      <c r="C470" s="561"/>
      <c r="D470" s="561"/>
      <c r="E470" s="493"/>
      <c r="F470" s="69"/>
      <c r="G470" s="69"/>
      <c r="H470" s="178">
        <f t="shared" si="14"/>
        <v>0</v>
      </c>
      <c r="I470" s="178">
        <f t="shared" si="15"/>
        <v>0</v>
      </c>
      <c r="J470" s="109"/>
    </row>
    <row r="471" spans="1:10" hidden="1">
      <c r="A471" s="1558"/>
      <c r="B471" s="425"/>
      <c r="C471" s="561"/>
      <c r="D471" s="561"/>
      <c r="E471" s="493"/>
      <c r="F471" s="69"/>
      <c r="G471" s="69"/>
      <c r="H471" s="178">
        <f t="shared" si="14"/>
        <v>0</v>
      </c>
      <c r="I471" s="178">
        <f t="shared" si="15"/>
        <v>0</v>
      </c>
      <c r="J471" s="109"/>
    </row>
    <row r="472" spans="1:10" hidden="1">
      <c r="A472" s="1558"/>
      <c r="B472" s="425"/>
      <c r="C472" s="493"/>
      <c r="D472" s="493"/>
      <c r="E472" s="493"/>
      <c r="F472" s="69"/>
      <c r="G472" s="69"/>
      <c r="H472" s="178">
        <f t="shared" si="14"/>
        <v>0</v>
      </c>
      <c r="I472" s="178">
        <f t="shared" si="15"/>
        <v>0</v>
      </c>
      <c r="J472" s="109"/>
    </row>
    <row r="473" spans="1:10" hidden="1">
      <c r="A473" s="1558"/>
      <c r="B473" s="425"/>
      <c r="C473" s="493"/>
      <c r="D473" s="493"/>
      <c r="E473" s="493"/>
      <c r="F473" s="69"/>
      <c r="G473" s="69"/>
      <c r="H473" s="178">
        <f t="shared" si="14"/>
        <v>0</v>
      </c>
      <c r="I473" s="178">
        <f t="shared" si="15"/>
        <v>0</v>
      </c>
      <c r="J473" s="109"/>
    </row>
    <row r="474" spans="1:10" hidden="1">
      <c r="A474" s="1558"/>
      <c r="B474" s="425"/>
      <c r="C474" s="561"/>
      <c r="D474" s="561"/>
      <c r="E474" s="493"/>
      <c r="F474" s="69"/>
      <c r="G474" s="69"/>
      <c r="H474" s="178">
        <f t="shared" si="14"/>
        <v>0</v>
      </c>
      <c r="I474" s="178">
        <f t="shared" si="15"/>
        <v>0</v>
      </c>
      <c r="J474" s="109"/>
    </row>
    <row r="475" spans="1:10" hidden="1">
      <c r="A475" s="1558"/>
      <c r="B475" s="425"/>
      <c r="C475" s="493"/>
      <c r="D475" s="493"/>
      <c r="E475" s="493"/>
      <c r="F475" s="69"/>
      <c r="G475" s="69"/>
      <c r="H475" s="178">
        <f t="shared" si="14"/>
        <v>0</v>
      </c>
      <c r="I475" s="178">
        <f t="shared" si="15"/>
        <v>0</v>
      </c>
      <c r="J475" s="109"/>
    </row>
    <row r="476" spans="1:10" hidden="1">
      <c r="A476" s="1558"/>
      <c r="B476" s="425"/>
      <c r="C476" s="493"/>
      <c r="D476" s="493"/>
      <c r="E476" s="493"/>
      <c r="F476" s="69"/>
      <c r="G476" s="69"/>
      <c r="H476" s="178">
        <f t="shared" si="14"/>
        <v>0</v>
      </c>
      <c r="I476" s="178">
        <f t="shared" si="15"/>
        <v>0</v>
      </c>
      <c r="J476" s="109"/>
    </row>
    <row r="477" spans="1:10" hidden="1">
      <c r="A477" s="1558"/>
      <c r="B477" s="425"/>
      <c r="C477" s="493"/>
      <c r="D477" s="493"/>
      <c r="E477" s="493"/>
      <c r="F477" s="69"/>
      <c r="G477" s="69"/>
      <c r="H477" s="178">
        <f t="shared" si="14"/>
        <v>0</v>
      </c>
      <c r="I477" s="178">
        <f t="shared" si="15"/>
        <v>0</v>
      </c>
      <c r="J477" s="109"/>
    </row>
    <row r="478" spans="1:10" hidden="1">
      <c r="A478" s="1558"/>
      <c r="B478" s="425"/>
      <c r="C478" s="561"/>
      <c r="D478" s="561"/>
      <c r="E478" s="577"/>
      <c r="F478" s="69"/>
      <c r="G478" s="69"/>
      <c r="H478" s="178">
        <f t="shared" si="14"/>
        <v>0</v>
      </c>
      <c r="I478" s="178">
        <f t="shared" si="15"/>
        <v>0</v>
      </c>
      <c r="J478" s="109"/>
    </row>
    <row r="479" spans="1:10" hidden="1">
      <c r="A479" s="1558"/>
      <c r="B479" s="425"/>
      <c r="C479" s="561"/>
      <c r="D479" s="561"/>
      <c r="E479" s="577"/>
      <c r="F479" s="69"/>
      <c r="G479" s="69"/>
      <c r="H479" s="178">
        <f t="shared" si="14"/>
        <v>0</v>
      </c>
      <c r="I479" s="178">
        <f t="shared" si="15"/>
        <v>0</v>
      </c>
      <c r="J479" s="109"/>
    </row>
    <row r="480" spans="1:10" hidden="1">
      <c r="A480" s="1558"/>
      <c r="B480" s="425"/>
      <c r="C480" s="561"/>
      <c r="D480" s="561"/>
      <c r="E480" s="577"/>
      <c r="F480" s="69"/>
      <c r="G480" s="69"/>
      <c r="H480" s="178">
        <f t="shared" si="14"/>
        <v>0</v>
      </c>
      <c r="I480" s="178">
        <f t="shared" si="15"/>
        <v>0</v>
      </c>
      <c r="J480" s="109"/>
    </row>
    <row r="481" spans="1:11" hidden="1">
      <c r="A481" s="1558"/>
      <c r="B481" s="427"/>
      <c r="C481" s="578"/>
      <c r="D481" s="578"/>
      <c r="E481" s="579"/>
      <c r="F481" s="69"/>
      <c r="G481" s="69"/>
      <c r="H481" s="178">
        <f t="shared" si="14"/>
        <v>0</v>
      </c>
      <c r="I481" s="178">
        <f t="shared" si="15"/>
        <v>0</v>
      </c>
      <c r="J481" s="109"/>
    </row>
    <row r="482" spans="1:11" hidden="1">
      <c r="A482" s="1558"/>
      <c r="B482" s="425"/>
      <c r="C482" s="493"/>
      <c r="D482" s="493"/>
      <c r="E482" s="493"/>
      <c r="F482" s="69"/>
      <c r="G482" s="69"/>
      <c r="H482" s="178">
        <f t="shared" si="14"/>
        <v>0</v>
      </c>
      <c r="I482" s="178">
        <f t="shared" si="15"/>
        <v>0</v>
      </c>
      <c r="J482" s="109"/>
    </row>
    <row r="483" spans="1:11" hidden="1">
      <c r="A483" s="1558"/>
      <c r="B483" s="425"/>
      <c r="C483" s="493"/>
      <c r="D483" s="493"/>
      <c r="E483" s="493"/>
      <c r="F483" s="69"/>
      <c r="G483" s="69"/>
      <c r="H483" s="178">
        <f t="shared" si="14"/>
        <v>0</v>
      </c>
      <c r="I483" s="178">
        <f t="shared" si="15"/>
        <v>0</v>
      </c>
      <c r="J483" s="109"/>
    </row>
    <row r="484" spans="1:11" hidden="1">
      <c r="A484" s="1558"/>
      <c r="B484" s="425"/>
      <c r="C484" s="577"/>
      <c r="D484" s="577"/>
      <c r="E484" s="577"/>
      <c r="F484" s="69"/>
      <c r="G484" s="69"/>
      <c r="H484" s="178">
        <f t="shared" si="14"/>
        <v>0</v>
      </c>
      <c r="I484" s="178">
        <f t="shared" si="15"/>
        <v>0</v>
      </c>
      <c r="J484" s="109"/>
    </row>
    <row r="485" spans="1:11" hidden="1">
      <c r="A485" s="1558"/>
      <c r="B485" s="425"/>
      <c r="C485" s="577"/>
      <c r="D485" s="577"/>
      <c r="E485" s="577"/>
      <c r="F485" s="69"/>
      <c r="G485" s="69"/>
      <c r="H485" s="178">
        <f t="shared" si="14"/>
        <v>0</v>
      </c>
      <c r="I485" s="178">
        <f t="shared" si="15"/>
        <v>0</v>
      </c>
      <c r="J485" s="109"/>
    </row>
    <row r="486" spans="1:11" hidden="1">
      <c r="A486" s="1558"/>
      <c r="B486" s="425"/>
      <c r="C486" s="577"/>
      <c r="D486" s="577"/>
      <c r="E486" s="577"/>
      <c r="F486" s="69"/>
      <c r="G486" s="69"/>
      <c r="H486" s="178">
        <f t="shared" si="14"/>
        <v>0</v>
      </c>
      <c r="I486" s="178">
        <f t="shared" si="15"/>
        <v>0</v>
      </c>
      <c r="J486" s="109"/>
    </row>
    <row r="487" spans="1:11" hidden="1">
      <c r="A487" s="1558"/>
      <c r="B487" s="425"/>
      <c r="C487" s="577"/>
      <c r="D487" s="577"/>
      <c r="E487" s="577"/>
      <c r="F487" s="69"/>
      <c r="G487" s="69"/>
      <c r="H487" s="178">
        <f t="shared" si="14"/>
        <v>0</v>
      </c>
      <c r="I487" s="178">
        <f t="shared" si="15"/>
        <v>0</v>
      </c>
      <c r="J487" s="109"/>
    </row>
    <row r="488" spans="1:11" hidden="1">
      <c r="A488" s="1558"/>
      <c r="B488" s="425"/>
      <c r="C488" s="577"/>
      <c r="D488" s="577"/>
      <c r="E488" s="577"/>
      <c r="F488" s="69"/>
      <c r="G488" s="69"/>
      <c r="H488" s="178">
        <f t="shared" si="14"/>
        <v>0</v>
      </c>
      <c r="I488" s="178">
        <f t="shared" si="15"/>
        <v>0</v>
      </c>
      <c r="J488" s="109"/>
    </row>
    <row r="489" spans="1:11" hidden="1">
      <c r="A489" s="1558"/>
      <c r="B489" s="425"/>
      <c r="C489" s="577"/>
      <c r="D489" s="577"/>
      <c r="E489" s="577"/>
      <c r="F489" s="69"/>
      <c r="G489" s="69"/>
      <c r="H489" s="178">
        <f t="shared" si="14"/>
        <v>0</v>
      </c>
      <c r="I489" s="178">
        <f t="shared" si="15"/>
        <v>0</v>
      </c>
      <c r="J489" s="109"/>
    </row>
    <row r="490" spans="1:11" hidden="1">
      <c r="A490" s="1558"/>
      <c r="B490" s="425"/>
      <c r="C490" s="577"/>
      <c r="D490" s="577"/>
      <c r="E490" s="577"/>
      <c r="F490" s="69"/>
      <c r="G490" s="69"/>
      <c r="H490" s="178">
        <f t="shared" si="14"/>
        <v>0</v>
      </c>
      <c r="I490" s="178">
        <f t="shared" si="15"/>
        <v>0</v>
      </c>
      <c r="J490" s="109"/>
    </row>
    <row r="491" spans="1:11" hidden="1">
      <c r="A491" s="1558"/>
      <c r="B491" s="425"/>
      <c r="C491" s="577"/>
      <c r="D491" s="577"/>
      <c r="E491" s="577"/>
      <c r="F491" s="69"/>
      <c r="G491" s="69"/>
      <c r="H491" s="178">
        <f t="shared" si="14"/>
        <v>0</v>
      </c>
      <c r="I491" s="178">
        <f t="shared" si="15"/>
        <v>0</v>
      </c>
      <c r="J491" s="109"/>
    </row>
    <row r="492" spans="1:11" hidden="1">
      <c r="A492" s="1558"/>
      <c r="B492" s="425"/>
      <c r="C492" s="577"/>
      <c r="D492" s="577"/>
      <c r="E492" s="577"/>
      <c r="F492" s="69"/>
      <c r="G492" s="69"/>
      <c r="H492" s="178">
        <f t="shared" si="14"/>
        <v>0</v>
      </c>
      <c r="I492" s="178">
        <f t="shared" si="15"/>
        <v>0</v>
      </c>
      <c r="J492" s="109"/>
    </row>
    <row r="493" spans="1:11" hidden="1">
      <c r="A493" s="1558"/>
      <c r="B493" s="425"/>
      <c r="C493" s="561"/>
      <c r="D493" s="577"/>
      <c r="E493" s="577"/>
      <c r="F493" s="69"/>
      <c r="G493" s="69"/>
      <c r="H493" s="178">
        <f t="shared" si="14"/>
        <v>0</v>
      </c>
      <c r="I493" s="178">
        <f t="shared" si="15"/>
        <v>0</v>
      </c>
      <c r="J493" s="109"/>
    </row>
    <row r="494" spans="1:11" hidden="1">
      <c r="A494" s="1558"/>
      <c r="B494" s="425"/>
      <c r="C494" s="561"/>
      <c r="D494" s="577"/>
      <c r="E494" s="577"/>
      <c r="F494" s="69"/>
      <c r="G494" s="69"/>
      <c r="H494" s="178">
        <f t="shared" si="14"/>
        <v>0</v>
      </c>
      <c r="I494" s="178">
        <f t="shared" si="15"/>
        <v>0</v>
      </c>
      <c r="J494" s="109"/>
    </row>
    <row r="495" spans="1:11" hidden="1">
      <c r="A495" s="1558"/>
      <c r="B495" s="425"/>
      <c r="C495" s="561"/>
      <c r="D495" s="577"/>
      <c r="E495" s="577"/>
      <c r="F495" s="69"/>
      <c r="G495" s="69"/>
      <c r="H495" s="178">
        <f t="shared" si="14"/>
        <v>0</v>
      </c>
      <c r="I495" s="178">
        <f t="shared" si="15"/>
        <v>0</v>
      </c>
      <c r="J495" s="109"/>
    </row>
    <row r="496" spans="1:11">
      <c r="A496" s="1558"/>
      <c r="B496" s="209" t="s">
        <v>985</v>
      </c>
      <c r="C496" s="588">
        <f>SUM(C447:C495)</f>
        <v>1000000</v>
      </c>
      <c r="D496" s="588">
        <f>SUM(D447:D495)</f>
        <v>0</v>
      </c>
      <c r="E496" s="588">
        <f>SUM(E447:E495)</f>
        <v>1000000</v>
      </c>
      <c r="F496" s="115">
        <f>SUM(F447:F463)</f>
        <v>0</v>
      </c>
      <c r="G496" s="115">
        <f>SUM(G447:G463)</f>
        <v>0</v>
      </c>
      <c r="H496" s="1436">
        <f t="shared" si="14"/>
        <v>0</v>
      </c>
      <c r="I496" s="1436">
        <f t="shared" si="15"/>
        <v>2000000</v>
      </c>
      <c r="J496" s="1439"/>
      <c r="K496" s="1435"/>
    </row>
    <row r="497" spans="1:11" s="411" customFormat="1" ht="37.5">
      <c r="A497" s="1558" t="s">
        <v>1149</v>
      </c>
      <c r="B497" s="1378" t="s">
        <v>2053</v>
      </c>
      <c r="C497" s="1379">
        <v>42000</v>
      </c>
      <c r="D497" s="1379"/>
      <c r="E497" s="1380">
        <v>42000</v>
      </c>
      <c r="F497" s="1381"/>
      <c r="G497" s="1381"/>
      <c r="H497" s="1436">
        <f t="shared" si="14"/>
        <v>0</v>
      </c>
      <c r="I497" s="1436">
        <f t="shared" si="15"/>
        <v>84000</v>
      </c>
      <c r="J497" s="1439"/>
      <c r="K497" s="1442"/>
    </row>
    <row r="498" spans="1:11" hidden="1">
      <c r="A498" s="1558"/>
      <c r="B498" s="425"/>
      <c r="C498" s="561"/>
      <c r="D498" s="561"/>
      <c r="E498" s="493"/>
      <c r="F498" s="69"/>
      <c r="G498" s="69"/>
      <c r="H498" s="178">
        <f t="shared" si="14"/>
        <v>0</v>
      </c>
      <c r="I498" s="178">
        <f t="shared" si="15"/>
        <v>0</v>
      </c>
      <c r="J498" s="109"/>
    </row>
    <row r="499" spans="1:11" hidden="1">
      <c r="A499" s="1558"/>
      <c r="B499" s="425"/>
      <c r="C499" s="561"/>
      <c r="D499" s="561"/>
      <c r="E499" s="493"/>
      <c r="F499" s="69"/>
      <c r="G499" s="69"/>
      <c r="H499" s="178">
        <f t="shared" si="14"/>
        <v>0</v>
      </c>
      <c r="I499" s="178">
        <f t="shared" si="15"/>
        <v>0</v>
      </c>
      <c r="J499" s="109"/>
    </row>
    <row r="500" spans="1:11" hidden="1">
      <c r="A500" s="1558"/>
      <c r="B500" s="425"/>
      <c r="C500" s="561"/>
      <c r="D500" s="561"/>
      <c r="E500" s="493"/>
      <c r="F500" s="69"/>
      <c r="G500" s="69"/>
      <c r="H500" s="178">
        <f t="shared" si="14"/>
        <v>0</v>
      </c>
      <c r="I500" s="178">
        <f t="shared" si="15"/>
        <v>0</v>
      </c>
      <c r="J500" s="109"/>
    </row>
    <row r="501" spans="1:11" hidden="1">
      <c r="A501" s="1558"/>
      <c r="B501" s="425"/>
      <c r="C501" s="561"/>
      <c r="D501" s="561"/>
      <c r="E501" s="493"/>
      <c r="F501" s="69"/>
      <c r="G501" s="69"/>
      <c r="H501" s="178">
        <f t="shared" si="14"/>
        <v>0</v>
      </c>
      <c r="I501" s="178">
        <f t="shared" si="15"/>
        <v>0</v>
      </c>
      <c r="J501" s="109"/>
    </row>
    <row r="502" spans="1:11" hidden="1">
      <c r="A502" s="1558"/>
      <c r="B502" s="425"/>
      <c r="C502" s="561"/>
      <c r="D502" s="561"/>
      <c r="E502" s="493"/>
      <c r="F502" s="69"/>
      <c r="G502" s="69"/>
      <c r="H502" s="178">
        <f t="shared" si="14"/>
        <v>0</v>
      </c>
      <c r="I502" s="178">
        <f t="shared" si="15"/>
        <v>0</v>
      </c>
      <c r="J502" s="109"/>
    </row>
    <row r="503" spans="1:11" hidden="1">
      <c r="A503" s="1558"/>
      <c r="B503" s="425"/>
      <c r="C503" s="561"/>
      <c r="D503" s="561"/>
      <c r="E503" s="493"/>
      <c r="F503" s="69"/>
      <c r="G503" s="69"/>
      <c r="H503" s="178">
        <f t="shared" si="14"/>
        <v>0</v>
      </c>
      <c r="I503" s="178">
        <f t="shared" si="15"/>
        <v>0</v>
      </c>
      <c r="J503" s="109"/>
    </row>
    <row r="504" spans="1:11" hidden="1">
      <c r="A504" s="1558"/>
      <c r="B504" s="425"/>
      <c r="C504" s="561"/>
      <c r="D504" s="561"/>
      <c r="E504" s="493"/>
      <c r="F504" s="69"/>
      <c r="G504" s="69"/>
      <c r="H504" s="178">
        <f t="shared" si="14"/>
        <v>0</v>
      </c>
      <c r="I504" s="178">
        <f t="shared" si="15"/>
        <v>0</v>
      </c>
      <c r="J504" s="109"/>
    </row>
    <row r="505" spans="1:11" hidden="1">
      <c r="A505" s="1558"/>
      <c r="B505" s="425"/>
      <c r="C505" s="561"/>
      <c r="D505" s="561"/>
      <c r="E505" s="493"/>
      <c r="F505" s="69"/>
      <c r="G505" s="69"/>
      <c r="H505" s="178">
        <f t="shared" si="14"/>
        <v>0</v>
      </c>
      <c r="I505" s="178">
        <f t="shared" si="15"/>
        <v>0</v>
      </c>
      <c r="J505" s="109"/>
    </row>
    <row r="506" spans="1:11" hidden="1">
      <c r="A506" s="1558"/>
      <c r="B506" s="425"/>
      <c r="C506" s="561"/>
      <c r="D506" s="561"/>
      <c r="E506" s="493"/>
      <c r="F506" s="69"/>
      <c r="G506" s="69"/>
      <c r="H506" s="178">
        <f t="shared" si="14"/>
        <v>0</v>
      </c>
      <c r="I506" s="178">
        <f t="shared" si="15"/>
        <v>0</v>
      </c>
      <c r="J506" s="109"/>
    </row>
    <row r="507" spans="1:11" hidden="1">
      <c r="A507" s="1558"/>
      <c r="B507" s="425"/>
      <c r="C507" s="561"/>
      <c r="D507" s="561"/>
      <c r="E507" s="493"/>
      <c r="F507" s="69"/>
      <c r="G507" s="69"/>
      <c r="H507" s="178">
        <f t="shared" si="14"/>
        <v>0</v>
      </c>
      <c r="I507" s="178">
        <f t="shared" si="15"/>
        <v>0</v>
      </c>
      <c r="J507" s="109"/>
    </row>
    <row r="508" spans="1:11" hidden="1">
      <c r="A508" s="1558"/>
      <c r="B508" s="425"/>
      <c r="C508" s="561"/>
      <c r="D508" s="561"/>
      <c r="E508" s="493"/>
      <c r="F508" s="69"/>
      <c r="G508" s="69"/>
      <c r="H508" s="178">
        <f t="shared" si="14"/>
        <v>0</v>
      </c>
      <c r="I508" s="178">
        <f t="shared" si="15"/>
        <v>0</v>
      </c>
      <c r="J508" s="109"/>
    </row>
    <row r="509" spans="1:11" hidden="1">
      <c r="A509" s="1558"/>
      <c r="B509" s="425"/>
      <c r="C509" s="561"/>
      <c r="D509" s="561"/>
      <c r="E509" s="493"/>
      <c r="F509" s="69"/>
      <c r="G509" s="69"/>
      <c r="H509" s="178">
        <f t="shared" si="14"/>
        <v>0</v>
      </c>
      <c r="I509" s="178">
        <f t="shared" si="15"/>
        <v>0</v>
      </c>
      <c r="J509" s="109"/>
    </row>
    <row r="510" spans="1:11" hidden="1">
      <c r="A510" s="1558"/>
      <c r="B510" s="425"/>
      <c r="C510" s="561"/>
      <c r="D510" s="561"/>
      <c r="E510" s="493"/>
      <c r="F510" s="69"/>
      <c r="G510" s="69"/>
      <c r="H510" s="178">
        <f t="shared" si="14"/>
        <v>0</v>
      </c>
      <c r="I510" s="178">
        <f t="shared" si="15"/>
        <v>0</v>
      </c>
      <c r="J510" s="109"/>
    </row>
    <row r="511" spans="1:11" hidden="1">
      <c r="A511" s="1558"/>
      <c r="B511" s="425"/>
      <c r="C511" s="561"/>
      <c r="D511" s="561"/>
      <c r="E511" s="577"/>
      <c r="F511" s="69"/>
      <c r="G511" s="69"/>
      <c r="H511" s="178">
        <f t="shared" si="14"/>
        <v>0</v>
      </c>
      <c r="I511" s="178">
        <f t="shared" si="15"/>
        <v>0</v>
      </c>
      <c r="J511" s="109"/>
    </row>
    <row r="512" spans="1:11" hidden="1">
      <c r="A512" s="1558"/>
      <c r="B512" s="425"/>
      <c r="C512" s="561"/>
      <c r="D512" s="561"/>
      <c r="E512" s="577"/>
      <c r="F512" s="69"/>
      <c r="G512" s="69"/>
      <c r="H512" s="178">
        <f t="shared" si="14"/>
        <v>0</v>
      </c>
      <c r="I512" s="178">
        <f t="shared" si="15"/>
        <v>0</v>
      </c>
      <c r="J512" s="109"/>
    </row>
    <row r="513" spans="1:10" hidden="1">
      <c r="A513" s="1558"/>
      <c r="B513" s="425"/>
      <c r="C513" s="578"/>
      <c r="D513" s="578"/>
      <c r="E513" s="580"/>
      <c r="F513" s="69"/>
      <c r="G513" s="69"/>
      <c r="H513" s="178">
        <f t="shared" si="14"/>
        <v>0</v>
      </c>
      <c r="I513" s="178">
        <f t="shared" si="15"/>
        <v>0</v>
      </c>
      <c r="J513" s="109"/>
    </row>
    <row r="514" spans="1:10" hidden="1">
      <c r="A514" s="1558"/>
      <c r="B514" s="425"/>
      <c r="C514" s="578"/>
      <c r="D514" s="578"/>
      <c r="E514" s="580"/>
      <c r="F514" s="69"/>
      <c r="G514" s="69"/>
      <c r="H514" s="178">
        <f t="shared" si="14"/>
        <v>0</v>
      </c>
      <c r="I514" s="178">
        <f t="shared" si="15"/>
        <v>0</v>
      </c>
      <c r="J514" s="109"/>
    </row>
    <row r="515" spans="1:10" hidden="1">
      <c r="A515" s="1558"/>
      <c r="B515" s="425"/>
      <c r="C515" s="561"/>
      <c r="D515" s="561"/>
      <c r="E515" s="577"/>
      <c r="F515" s="69"/>
      <c r="G515" s="69"/>
      <c r="H515" s="178">
        <f t="shared" si="14"/>
        <v>0</v>
      </c>
      <c r="I515" s="178">
        <f t="shared" si="15"/>
        <v>0</v>
      </c>
      <c r="J515" s="109"/>
    </row>
    <row r="516" spans="1:10" hidden="1">
      <c r="A516" s="1558"/>
      <c r="B516" s="425"/>
      <c r="C516" s="561"/>
      <c r="D516" s="561"/>
      <c r="E516" s="577"/>
      <c r="F516" s="69"/>
      <c r="G516" s="69"/>
      <c r="H516" s="178">
        <f t="shared" si="14"/>
        <v>0</v>
      </c>
      <c r="I516" s="178">
        <f t="shared" si="15"/>
        <v>0</v>
      </c>
      <c r="J516" s="109"/>
    </row>
    <row r="517" spans="1:10" hidden="1">
      <c r="A517" s="1558"/>
      <c r="B517" s="425"/>
      <c r="C517" s="561"/>
      <c r="D517" s="561"/>
      <c r="E517" s="577"/>
      <c r="F517" s="69"/>
      <c r="G517" s="69"/>
      <c r="H517" s="178">
        <f t="shared" si="14"/>
        <v>0</v>
      </c>
      <c r="I517" s="178">
        <f t="shared" si="15"/>
        <v>0</v>
      </c>
      <c r="J517" s="109"/>
    </row>
    <row r="518" spans="1:10" hidden="1">
      <c r="A518" s="1558"/>
      <c r="B518" s="425"/>
      <c r="C518" s="561"/>
      <c r="D518" s="561"/>
      <c r="E518" s="577"/>
      <c r="F518" s="69"/>
      <c r="G518" s="69"/>
      <c r="H518" s="178">
        <f t="shared" si="14"/>
        <v>0</v>
      </c>
      <c r="I518" s="178">
        <f t="shared" si="15"/>
        <v>0</v>
      </c>
      <c r="J518" s="109"/>
    </row>
    <row r="519" spans="1:10" hidden="1">
      <c r="A519" s="1558"/>
      <c r="B519" s="425"/>
      <c r="C519" s="561"/>
      <c r="D519" s="561"/>
      <c r="E519" s="577"/>
      <c r="F519" s="69"/>
      <c r="G519" s="69"/>
      <c r="H519" s="178">
        <f t="shared" si="14"/>
        <v>0</v>
      </c>
      <c r="I519" s="178">
        <f t="shared" si="15"/>
        <v>0</v>
      </c>
      <c r="J519" s="109"/>
    </row>
    <row r="520" spans="1:10" hidden="1">
      <c r="A520" s="1558"/>
      <c r="B520" s="425"/>
      <c r="C520" s="561"/>
      <c r="D520" s="561"/>
      <c r="E520" s="577"/>
      <c r="F520" s="69"/>
      <c r="G520" s="69"/>
      <c r="H520" s="178">
        <f t="shared" si="14"/>
        <v>0</v>
      </c>
      <c r="I520" s="178">
        <f t="shared" si="15"/>
        <v>0</v>
      </c>
      <c r="J520" s="109"/>
    </row>
    <row r="521" spans="1:10" hidden="1">
      <c r="A521" s="1558"/>
      <c r="B521" s="425"/>
      <c r="C521" s="561"/>
      <c r="D521" s="561"/>
      <c r="E521" s="577"/>
      <c r="F521" s="69"/>
      <c r="G521" s="69"/>
      <c r="H521" s="178">
        <f t="shared" ref="H521:H584" si="16">E521+D521-C521</f>
        <v>0</v>
      </c>
      <c r="I521" s="178">
        <f t="shared" ref="I521:I584" si="17">SUM(C521:E521)</f>
        <v>0</v>
      </c>
      <c r="J521" s="109"/>
    </row>
    <row r="522" spans="1:10" hidden="1">
      <c r="A522" s="1558"/>
      <c r="B522" s="425"/>
      <c r="C522" s="561"/>
      <c r="D522" s="561"/>
      <c r="E522" s="577"/>
      <c r="F522" s="69"/>
      <c r="G522" s="69"/>
      <c r="H522" s="178">
        <f t="shared" si="16"/>
        <v>0</v>
      </c>
      <c r="I522" s="178">
        <f t="shared" si="17"/>
        <v>0</v>
      </c>
      <c r="J522" s="109"/>
    </row>
    <row r="523" spans="1:10" hidden="1">
      <c r="A523" s="1558"/>
      <c r="B523" s="425"/>
      <c r="C523" s="561"/>
      <c r="D523" s="561"/>
      <c r="E523" s="577"/>
      <c r="F523" s="69"/>
      <c r="G523" s="69"/>
      <c r="H523" s="178">
        <f t="shared" si="16"/>
        <v>0</v>
      </c>
      <c r="I523" s="178">
        <f t="shared" si="17"/>
        <v>0</v>
      </c>
      <c r="J523" s="109"/>
    </row>
    <row r="524" spans="1:10" hidden="1">
      <c r="A524" s="1558"/>
      <c r="B524" s="425"/>
      <c r="C524" s="561"/>
      <c r="D524" s="561"/>
      <c r="E524" s="577"/>
      <c r="F524" s="69"/>
      <c r="G524" s="69"/>
      <c r="H524" s="178">
        <f t="shared" si="16"/>
        <v>0</v>
      </c>
      <c r="I524" s="178">
        <f t="shared" si="17"/>
        <v>0</v>
      </c>
      <c r="J524" s="109"/>
    </row>
    <row r="525" spans="1:10" hidden="1">
      <c r="A525" s="1558"/>
      <c r="B525" s="425"/>
      <c r="C525" s="561"/>
      <c r="D525" s="561"/>
      <c r="E525" s="577"/>
      <c r="F525" s="69"/>
      <c r="G525" s="69"/>
      <c r="H525" s="178">
        <f t="shared" si="16"/>
        <v>0</v>
      </c>
      <c r="I525" s="178">
        <f t="shared" si="17"/>
        <v>0</v>
      </c>
      <c r="J525" s="109"/>
    </row>
    <row r="526" spans="1:10" hidden="1">
      <c r="A526" s="1558"/>
      <c r="B526" s="425"/>
      <c r="C526" s="561"/>
      <c r="D526" s="561"/>
      <c r="E526" s="577"/>
      <c r="F526" s="69"/>
      <c r="G526" s="69"/>
      <c r="H526" s="178">
        <f t="shared" si="16"/>
        <v>0</v>
      </c>
      <c r="I526" s="178">
        <f t="shared" si="17"/>
        <v>0</v>
      </c>
      <c r="J526" s="109"/>
    </row>
    <row r="527" spans="1:10" hidden="1">
      <c r="A527" s="1558"/>
      <c r="B527" s="425"/>
      <c r="C527" s="561"/>
      <c r="D527" s="561"/>
      <c r="E527" s="577"/>
      <c r="F527" s="69"/>
      <c r="G527" s="69"/>
      <c r="H527" s="178">
        <f t="shared" si="16"/>
        <v>0</v>
      </c>
      <c r="I527" s="178">
        <f t="shared" si="17"/>
        <v>0</v>
      </c>
      <c r="J527" s="109"/>
    </row>
    <row r="528" spans="1:10" hidden="1">
      <c r="A528" s="1558"/>
      <c r="B528" s="425"/>
      <c r="C528" s="561"/>
      <c r="D528" s="561"/>
      <c r="E528" s="577"/>
      <c r="F528" s="69"/>
      <c r="G528" s="69"/>
      <c r="H528" s="178">
        <f t="shared" si="16"/>
        <v>0</v>
      </c>
      <c r="I528" s="178">
        <f t="shared" si="17"/>
        <v>0</v>
      </c>
      <c r="J528" s="109"/>
    </row>
    <row r="529" spans="1:11" hidden="1">
      <c r="A529" s="1558"/>
      <c r="B529" s="425"/>
      <c r="C529" s="561"/>
      <c r="D529" s="561"/>
      <c r="E529" s="577"/>
      <c r="F529" s="69"/>
      <c r="G529" s="69"/>
      <c r="H529" s="178">
        <f t="shared" si="16"/>
        <v>0</v>
      </c>
      <c r="I529" s="178">
        <f t="shared" si="17"/>
        <v>0</v>
      </c>
      <c r="J529" s="109"/>
    </row>
    <row r="530" spans="1:11" hidden="1">
      <c r="A530" s="1558"/>
      <c r="B530" s="425"/>
      <c r="C530" s="561"/>
      <c r="D530" s="561"/>
      <c r="E530" s="577"/>
      <c r="F530" s="69"/>
      <c r="G530" s="69"/>
      <c r="H530" s="178">
        <f t="shared" si="16"/>
        <v>0</v>
      </c>
      <c r="I530" s="178">
        <f t="shared" si="17"/>
        <v>0</v>
      </c>
      <c r="J530" s="109"/>
    </row>
    <row r="531" spans="1:11" hidden="1">
      <c r="A531" s="1558"/>
      <c r="B531" s="425"/>
      <c r="C531" s="561"/>
      <c r="D531" s="561"/>
      <c r="E531" s="577"/>
      <c r="F531" s="69"/>
      <c r="G531" s="69"/>
      <c r="H531" s="178">
        <f t="shared" si="16"/>
        <v>0</v>
      </c>
      <c r="I531" s="178">
        <f t="shared" si="17"/>
        <v>0</v>
      </c>
      <c r="J531" s="109"/>
    </row>
    <row r="532" spans="1:11" hidden="1">
      <c r="A532" s="1558"/>
      <c r="B532" s="425"/>
      <c r="C532" s="561"/>
      <c r="D532" s="561"/>
      <c r="E532" s="577"/>
      <c r="F532" s="69"/>
      <c r="G532" s="69"/>
      <c r="H532" s="178">
        <f t="shared" si="16"/>
        <v>0</v>
      </c>
      <c r="I532" s="178">
        <f t="shared" si="17"/>
        <v>0</v>
      </c>
      <c r="J532" s="109"/>
    </row>
    <row r="533" spans="1:11" hidden="1">
      <c r="A533" s="1558"/>
      <c r="B533" s="541"/>
      <c r="C533" s="561"/>
      <c r="D533" s="561"/>
      <c r="E533" s="577"/>
      <c r="F533" s="69"/>
      <c r="G533" s="69"/>
      <c r="H533" s="178">
        <f t="shared" si="16"/>
        <v>0</v>
      </c>
      <c r="I533" s="178">
        <f t="shared" si="17"/>
        <v>0</v>
      </c>
      <c r="J533" s="109"/>
    </row>
    <row r="534" spans="1:11" hidden="1">
      <c r="A534" s="1558"/>
      <c r="B534" s="425"/>
      <c r="C534" s="561"/>
      <c r="D534" s="561"/>
      <c r="E534" s="577"/>
      <c r="F534" s="69"/>
      <c r="G534" s="69"/>
      <c r="H534" s="178">
        <f t="shared" si="16"/>
        <v>0</v>
      </c>
      <c r="I534" s="178">
        <f t="shared" si="17"/>
        <v>0</v>
      </c>
      <c r="J534" s="109"/>
    </row>
    <row r="535" spans="1:11">
      <c r="A535" s="1558"/>
      <c r="B535" s="209" t="s">
        <v>985</v>
      </c>
      <c r="C535" s="588">
        <f>SUM(C497:C534)</f>
        <v>42000</v>
      </c>
      <c r="D535" s="588">
        <f>SUM(D497:D534)</f>
        <v>0</v>
      </c>
      <c r="E535" s="588">
        <f>SUM(E497:E534)</f>
        <v>42000</v>
      </c>
      <c r="F535" s="115">
        <f>SUM(F497:F508)</f>
        <v>0</v>
      </c>
      <c r="G535" s="115">
        <f>SUM(G497:G508)</f>
        <v>0</v>
      </c>
      <c r="H535" s="1436">
        <f t="shared" si="16"/>
        <v>0</v>
      </c>
      <c r="I535" s="1436">
        <f t="shared" si="17"/>
        <v>84000</v>
      </c>
      <c r="J535" s="1439"/>
      <c r="K535" s="1435"/>
    </row>
    <row r="536" spans="1:11" s="1184" customFormat="1" ht="187.5">
      <c r="A536" s="1558" t="s">
        <v>1150</v>
      </c>
      <c r="B536" s="1175" t="s">
        <v>1252</v>
      </c>
      <c r="C536" s="1182">
        <v>9000</v>
      </c>
      <c r="D536" s="1182">
        <v>9000</v>
      </c>
      <c r="E536" s="1182"/>
      <c r="F536" s="1183"/>
      <c r="G536" s="1183"/>
      <c r="H536" s="1436">
        <f t="shared" si="16"/>
        <v>0</v>
      </c>
      <c r="I536" s="1436">
        <f t="shared" si="17"/>
        <v>18000</v>
      </c>
      <c r="J536" s="1439"/>
      <c r="K536" s="1439"/>
    </row>
    <row r="537" spans="1:11" s="109" customFormat="1" hidden="1">
      <c r="A537" s="1558"/>
      <c r="B537" s="758"/>
      <c r="C537" s="759"/>
      <c r="D537" s="759"/>
      <c r="E537" s="760"/>
      <c r="F537" s="247"/>
      <c r="G537" s="247"/>
      <c r="H537" s="178">
        <f t="shared" si="16"/>
        <v>0</v>
      </c>
      <c r="I537" s="178">
        <f t="shared" si="17"/>
        <v>0</v>
      </c>
    </row>
    <row r="538" spans="1:11" hidden="1">
      <c r="A538" s="1558"/>
      <c r="B538" s="758"/>
      <c r="C538" s="759"/>
      <c r="D538" s="759"/>
      <c r="E538" s="760"/>
      <c r="F538" s="180"/>
      <c r="G538" s="180"/>
      <c r="H538" s="178">
        <f t="shared" si="16"/>
        <v>0</v>
      </c>
      <c r="I538" s="178">
        <f t="shared" si="17"/>
        <v>0</v>
      </c>
      <c r="J538" s="109"/>
    </row>
    <row r="539" spans="1:11" hidden="1">
      <c r="A539" s="1558"/>
      <c r="B539" s="821"/>
      <c r="C539" s="818"/>
      <c r="D539" s="818"/>
      <c r="E539" s="819"/>
      <c r="F539" s="180"/>
      <c r="G539" s="180"/>
      <c r="H539" s="178">
        <f t="shared" si="16"/>
        <v>0</v>
      </c>
      <c r="I539" s="178">
        <f t="shared" si="17"/>
        <v>0</v>
      </c>
      <c r="J539" s="109"/>
    </row>
    <row r="540" spans="1:11" hidden="1">
      <c r="A540" s="1558"/>
      <c r="B540" s="433"/>
      <c r="C540" s="561"/>
      <c r="D540" s="561"/>
      <c r="E540" s="561"/>
      <c r="F540" s="69"/>
      <c r="G540" s="69"/>
      <c r="H540" s="178">
        <f t="shared" si="16"/>
        <v>0</v>
      </c>
      <c r="I540" s="178">
        <f t="shared" si="17"/>
        <v>0</v>
      </c>
      <c r="J540" s="109"/>
    </row>
    <row r="541" spans="1:11" hidden="1">
      <c r="A541" s="1558"/>
      <c r="B541" s="425"/>
      <c r="C541" s="493"/>
      <c r="D541" s="493"/>
      <c r="E541" s="493"/>
      <c r="F541" s="69"/>
      <c r="G541" s="69"/>
      <c r="H541" s="178">
        <f t="shared" si="16"/>
        <v>0</v>
      </c>
      <c r="I541" s="178">
        <f t="shared" si="17"/>
        <v>0</v>
      </c>
      <c r="J541" s="109"/>
    </row>
    <row r="542" spans="1:11" hidden="1">
      <c r="A542" s="1558"/>
      <c r="B542" s="425"/>
      <c r="C542" s="493"/>
      <c r="D542" s="493"/>
      <c r="E542" s="493"/>
      <c r="F542" s="69"/>
      <c r="G542" s="69"/>
      <c r="H542" s="178">
        <f t="shared" si="16"/>
        <v>0</v>
      </c>
      <c r="I542" s="178">
        <f t="shared" si="17"/>
        <v>0</v>
      </c>
      <c r="J542" s="109"/>
    </row>
    <row r="543" spans="1:11" s="411" customFormat="1" hidden="1">
      <c r="A543" s="1558"/>
      <c r="B543" s="425"/>
      <c r="C543" s="493"/>
      <c r="D543" s="493"/>
      <c r="E543" s="493"/>
      <c r="F543" s="410"/>
      <c r="G543" s="410"/>
      <c r="H543" s="178">
        <f t="shared" si="16"/>
        <v>0</v>
      </c>
      <c r="I543" s="178">
        <f t="shared" si="17"/>
        <v>0</v>
      </c>
      <c r="J543" s="109"/>
    </row>
    <row r="544" spans="1:11" hidden="1">
      <c r="A544" s="1558"/>
      <c r="B544" s="425"/>
      <c r="C544" s="493"/>
      <c r="D544" s="493"/>
      <c r="E544" s="493"/>
      <c r="F544" s="69"/>
      <c r="G544" s="69"/>
      <c r="H544" s="178">
        <f t="shared" si="16"/>
        <v>0</v>
      </c>
      <c r="I544" s="178">
        <f t="shared" si="17"/>
        <v>0</v>
      </c>
      <c r="J544" s="109"/>
    </row>
    <row r="545" spans="1:10" hidden="1">
      <c r="A545" s="1558"/>
      <c r="B545" s="425"/>
      <c r="C545" s="493"/>
      <c r="D545" s="493"/>
      <c r="E545" s="493"/>
      <c r="F545" s="69"/>
      <c r="G545" s="69"/>
      <c r="H545" s="178">
        <f t="shared" si="16"/>
        <v>0</v>
      </c>
      <c r="I545" s="178">
        <f t="shared" si="17"/>
        <v>0</v>
      </c>
      <c r="J545" s="109"/>
    </row>
    <row r="546" spans="1:10" hidden="1">
      <c r="A546" s="1558"/>
      <c r="B546" s="425"/>
      <c r="C546" s="493"/>
      <c r="D546" s="493"/>
      <c r="E546" s="493"/>
      <c r="F546" s="69"/>
      <c r="G546" s="69"/>
      <c r="H546" s="178">
        <f t="shared" si="16"/>
        <v>0</v>
      </c>
      <c r="I546" s="178">
        <f t="shared" si="17"/>
        <v>0</v>
      </c>
      <c r="J546" s="109"/>
    </row>
    <row r="547" spans="1:10" hidden="1">
      <c r="A547" s="1558"/>
      <c r="B547" s="425"/>
      <c r="C547" s="493"/>
      <c r="D547" s="493"/>
      <c r="E547" s="493"/>
      <c r="F547" s="69"/>
      <c r="G547" s="69"/>
      <c r="H547" s="178">
        <f t="shared" si="16"/>
        <v>0</v>
      </c>
      <c r="I547" s="178">
        <f t="shared" si="17"/>
        <v>0</v>
      </c>
      <c r="J547" s="109"/>
    </row>
    <row r="548" spans="1:10" hidden="1">
      <c r="A548" s="1558"/>
      <c r="B548" s="425"/>
      <c r="C548" s="493"/>
      <c r="D548" s="493"/>
      <c r="E548" s="493"/>
      <c r="F548" s="69"/>
      <c r="G548" s="69"/>
      <c r="H548" s="178">
        <f t="shared" si="16"/>
        <v>0</v>
      </c>
      <c r="I548" s="178">
        <f t="shared" si="17"/>
        <v>0</v>
      </c>
      <c r="J548" s="109"/>
    </row>
    <row r="549" spans="1:10" hidden="1">
      <c r="A549" s="1558"/>
      <c r="B549" s="425"/>
      <c r="C549" s="493"/>
      <c r="D549" s="493"/>
      <c r="E549" s="493"/>
      <c r="F549" s="69"/>
      <c r="G549" s="69"/>
      <c r="H549" s="178">
        <f t="shared" si="16"/>
        <v>0</v>
      </c>
      <c r="I549" s="178">
        <f t="shared" si="17"/>
        <v>0</v>
      </c>
      <c r="J549" s="109"/>
    </row>
    <row r="550" spans="1:10" hidden="1">
      <c r="A550" s="1558"/>
      <c r="B550" s="425"/>
      <c r="C550" s="493"/>
      <c r="D550" s="493"/>
      <c r="E550" s="493"/>
      <c r="F550" s="69"/>
      <c r="G550" s="69"/>
      <c r="H550" s="178">
        <f t="shared" si="16"/>
        <v>0</v>
      </c>
      <c r="I550" s="178">
        <f t="shared" si="17"/>
        <v>0</v>
      </c>
      <c r="J550" s="109"/>
    </row>
    <row r="551" spans="1:10" hidden="1">
      <c r="A551" s="1558"/>
      <c r="B551" s="425"/>
      <c r="C551" s="493"/>
      <c r="D551" s="493"/>
      <c r="E551" s="493"/>
      <c r="F551" s="69"/>
      <c r="G551" s="69"/>
      <c r="H551" s="178">
        <f t="shared" si="16"/>
        <v>0</v>
      </c>
      <c r="I551" s="178">
        <f t="shared" si="17"/>
        <v>0</v>
      </c>
      <c r="J551" s="109"/>
    </row>
    <row r="552" spans="1:10" hidden="1">
      <c r="A552" s="1558"/>
      <c r="B552" s="425"/>
      <c r="C552" s="493"/>
      <c r="D552" s="493"/>
      <c r="E552" s="493"/>
      <c r="F552" s="69"/>
      <c r="G552" s="69"/>
      <c r="H552" s="178">
        <f t="shared" si="16"/>
        <v>0</v>
      </c>
      <c r="I552" s="178">
        <f t="shared" si="17"/>
        <v>0</v>
      </c>
      <c r="J552" s="109"/>
    </row>
    <row r="553" spans="1:10" hidden="1">
      <c r="A553" s="1558"/>
      <c r="B553" s="425"/>
      <c r="C553" s="493"/>
      <c r="D553" s="493"/>
      <c r="E553" s="493"/>
      <c r="F553" s="69"/>
      <c r="G553" s="69"/>
      <c r="H553" s="178">
        <f t="shared" si="16"/>
        <v>0</v>
      </c>
      <c r="I553" s="178">
        <f t="shared" si="17"/>
        <v>0</v>
      </c>
      <c r="J553" s="109"/>
    </row>
    <row r="554" spans="1:10" hidden="1">
      <c r="A554" s="1558"/>
      <c r="B554" s="425"/>
      <c r="C554" s="561"/>
      <c r="D554" s="493"/>
      <c r="E554" s="561"/>
      <c r="F554" s="69"/>
      <c r="G554" s="69"/>
      <c r="H554" s="178">
        <f t="shared" si="16"/>
        <v>0</v>
      </c>
      <c r="I554" s="178">
        <f t="shared" si="17"/>
        <v>0</v>
      </c>
      <c r="J554" s="109"/>
    </row>
    <row r="555" spans="1:10" hidden="1">
      <c r="A555" s="1558"/>
      <c r="B555" s="425"/>
      <c r="C555" s="561"/>
      <c r="D555" s="493"/>
      <c r="E555" s="561"/>
      <c r="F555" s="69"/>
      <c r="G555" s="69"/>
      <c r="H555" s="178">
        <f t="shared" si="16"/>
        <v>0</v>
      </c>
      <c r="I555" s="178">
        <f t="shared" si="17"/>
        <v>0</v>
      </c>
      <c r="J555" s="109"/>
    </row>
    <row r="556" spans="1:10" hidden="1">
      <c r="A556" s="1558"/>
      <c r="B556" s="425"/>
      <c r="C556" s="561"/>
      <c r="D556" s="561"/>
      <c r="E556" s="493"/>
      <c r="F556" s="69"/>
      <c r="G556" s="69"/>
      <c r="H556" s="178">
        <f t="shared" si="16"/>
        <v>0</v>
      </c>
      <c r="I556" s="178">
        <f t="shared" si="17"/>
        <v>0</v>
      </c>
      <c r="J556" s="109"/>
    </row>
    <row r="557" spans="1:10" hidden="1">
      <c r="A557" s="1558"/>
      <c r="B557" s="425"/>
      <c r="C557" s="561"/>
      <c r="D557" s="561"/>
      <c r="E557" s="493"/>
      <c r="F557" s="69"/>
      <c r="G557" s="69"/>
      <c r="H557" s="178">
        <f t="shared" si="16"/>
        <v>0</v>
      </c>
      <c r="I557" s="178">
        <f t="shared" si="17"/>
        <v>0</v>
      </c>
      <c r="J557" s="109"/>
    </row>
    <row r="558" spans="1:10" hidden="1">
      <c r="A558" s="1558"/>
      <c r="B558" s="425"/>
      <c r="C558" s="561"/>
      <c r="D558" s="561"/>
      <c r="E558" s="493"/>
      <c r="F558" s="69"/>
      <c r="G558" s="69"/>
      <c r="H558" s="178">
        <f t="shared" si="16"/>
        <v>0</v>
      </c>
      <c r="I558" s="178">
        <f t="shared" si="17"/>
        <v>0</v>
      </c>
      <c r="J558" s="109"/>
    </row>
    <row r="559" spans="1:10" hidden="1">
      <c r="A559" s="1558"/>
      <c r="B559" s="425"/>
      <c r="C559" s="561"/>
      <c r="D559" s="561"/>
      <c r="E559" s="493"/>
      <c r="F559" s="69"/>
      <c r="G559" s="69"/>
      <c r="H559" s="178">
        <f t="shared" si="16"/>
        <v>0</v>
      </c>
      <c r="I559" s="178">
        <f t="shared" si="17"/>
        <v>0</v>
      </c>
      <c r="J559" s="109"/>
    </row>
    <row r="560" spans="1:10" hidden="1">
      <c r="A560" s="1558"/>
      <c r="B560" s="425"/>
      <c r="C560" s="561"/>
      <c r="D560" s="561"/>
      <c r="E560" s="493"/>
      <c r="F560" s="69"/>
      <c r="G560" s="69"/>
      <c r="H560" s="178">
        <f t="shared" si="16"/>
        <v>0</v>
      </c>
      <c r="I560" s="178">
        <f t="shared" si="17"/>
        <v>0</v>
      </c>
      <c r="J560" s="109"/>
    </row>
    <row r="561" spans="1:10" hidden="1">
      <c r="A561" s="1558"/>
      <c r="B561" s="425"/>
      <c r="C561" s="561"/>
      <c r="D561" s="561"/>
      <c r="E561" s="493"/>
      <c r="F561" s="69"/>
      <c r="G561" s="69"/>
      <c r="H561" s="178">
        <f t="shared" si="16"/>
        <v>0</v>
      </c>
      <c r="I561" s="178">
        <f t="shared" si="17"/>
        <v>0</v>
      </c>
      <c r="J561" s="109"/>
    </row>
    <row r="562" spans="1:10" hidden="1">
      <c r="A562" s="1558"/>
      <c r="B562" s="425"/>
      <c r="C562" s="561"/>
      <c r="D562" s="561"/>
      <c r="E562" s="493"/>
      <c r="F562" s="69"/>
      <c r="G562" s="69"/>
      <c r="H562" s="178">
        <f t="shared" si="16"/>
        <v>0</v>
      </c>
      <c r="I562" s="178">
        <f t="shared" si="17"/>
        <v>0</v>
      </c>
      <c r="J562" s="109"/>
    </row>
    <row r="563" spans="1:10" hidden="1">
      <c r="A563" s="1558"/>
      <c r="B563" s="425"/>
      <c r="C563" s="561"/>
      <c r="D563" s="561"/>
      <c r="E563" s="561"/>
      <c r="F563" s="69"/>
      <c r="G563" s="69"/>
      <c r="H563" s="178">
        <f t="shared" si="16"/>
        <v>0</v>
      </c>
      <c r="I563" s="178">
        <f t="shared" si="17"/>
        <v>0</v>
      </c>
      <c r="J563" s="109"/>
    </row>
    <row r="564" spans="1:10" hidden="1">
      <c r="A564" s="1558"/>
      <c r="B564" s="425"/>
      <c r="C564" s="561"/>
      <c r="D564" s="561"/>
      <c r="E564" s="561"/>
      <c r="F564" s="69"/>
      <c r="G564" s="69"/>
      <c r="H564" s="178">
        <f t="shared" si="16"/>
        <v>0</v>
      </c>
      <c r="I564" s="178">
        <f t="shared" si="17"/>
        <v>0</v>
      </c>
      <c r="J564" s="109"/>
    </row>
    <row r="565" spans="1:10" hidden="1">
      <c r="A565" s="1558"/>
      <c r="B565" s="425"/>
      <c r="C565" s="561"/>
      <c r="D565" s="561"/>
      <c r="E565" s="561"/>
      <c r="F565" s="69"/>
      <c r="G565" s="69"/>
      <c r="H565" s="178">
        <f t="shared" si="16"/>
        <v>0</v>
      </c>
      <c r="I565" s="178">
        <f t="shared" si="17"/>
        <v>0</v>
      </c>
      <c r="J565" s="109"/>
    </row>
    <row r="566" spans="1:10" hidden="1">
      <c r="A566" s="1558"/>
      <c r="B566" s="425"/>
      <c r="C566" s="493"/>
      <c r="D566" s="493"/>
      <c r="E566" s="493"/>
      <c r="F566" s="69"/>
      <c r="G566" s="69"/>
      <c r="H566" s="178">
        <f t="shared" si="16"/>
        <v>0</v>
      </c>
      <c r="I566" s="178">
        <f t="shared" si="17"/>
        <v>0</v>
      </c>
      <c r="J566" s="109"/>
    </row>
    <row r="567" spans="1:10" hidden="1">
      <c r="A567" s="1558"/>
      <c r="B567" s="425"/>
      <c r="C567" s="493"/>
      <c r="D567" s="493"/>
      <c r="E567" s="493"/>
      <c r="F567" s="69"/>
      <c r="G567" s="69"/>
      <c r="H567" s="178">
        <f t="shared" si="16"/>
        <v>0</v>
      </c>
      <c r="I567" s="178">
        <f t="shared" si="17"/>
        <v>0</v>
      </c>
      <c r="J567" s="109"/>
    </row>
    <row r="568" spans="1:10" hidden="1">
      <c r="A568" s="1558"/>
      <c r="B568" s="425"/>
      <c r="C568" s="493"/>
      <c r="D568" s="493"/>
      <c r="E568" s="493"/>
      <c r="F568" s="69"/>
      <c r="G568" s="69"/>
      <c r="H568" s="178">
        <f t="shared" si="16"/>
        <v>0</v>
      </c>
      <c r="I568" s="178">
        <f t="shared" si="17"/>
        <v>0</v>
      </c>
      <c r="J568" s="109"/>
    </row>
    <row r="569" spans="1:10" hidden="1">
      <c r="A569" s="1558"/>
      <c r="B569" s="425"/>
      <c r="C569" s="493"/>
      <c r="D569" s="493"/>
      <c r="E569" s="493"/>
      <c r="F569" s="69"/>
      <c r="G569" s="69"/>
      <c r="H569" s="178">
        <f t="shared" si="16"/>
        <v>0</v>
      </c>
      <c r="I569" s="178">
        <f t="shared" si="17"/>
        <v>0</v>
      </c>
      <c r="J569" s="109"/>
    </row>
    <row r="570" spans="1:10" hidden="1">
      <c r="A570" s="1558"/>
      <c r="B570" s="425"/>
      <c r="C570" s="561"/>
      <c r="D570" s="561"/>
      <c r="E570" s="493"/>
      <c r="F570" s="69"/>
      <c r="G570" s="69"/>
      <c r="H570" s="178">
        <f t="shared" si="16"/>
        <v>0</v>
      </c>
      <c r="I570" s="178">
        <f t="shared" si="17"/>
        <v>0</v>
      </c>
      <c r="J570" s="109"/>
    </row>
    <row r="571" spans="1:10" hidden="1">
      <c r="A571" s="1558"/>
      <c r="B571" s="425"/>
      <c r="C571" s="561"/>
      <c r="D571" s="561"/>
      <c r="E571" s="493"/>
      <c r="F571" s="69"/>
      <c r="G571" s="69"/>
      <c r="H571" s="178">
        <f t="shared" si="16"/>
        <v>0</v>
      </c>
      <c r="I571" s="178">
        <f t="shared" si="17"/>
        <v>0</v>
      </c>
      <c r="J571" s="109"/>
    </row>
    <row r="572" spans="1:10" hidden="1">
      <c r="A572" s="1558"/>
      <c r="B572" s="425"/>
      <c r="C572" s="561"/>
      <c r="D572" s="561"/>
      <c r="E572" s="493"/>
      <c r="F572" s="69"/>
      <c r="G572" s="69"/>
      <c r="H572" s="178">
        <f t="shared" si="16"/>
        <v>0</v>
      </c>
      <c r="I572" s="178">
        <f t="shared" si="17"/>
        <v>0</v>
      </c>
      <c r="J572" s="109"/>
    </row>
    <row r="573" spans="1:10" hidden="1">
      <c r="A573" s="1558"/>
      <c r="B573" s="425"/>
      <c r="C573" s="561"/>
      <c r="D573" s="561"/>
      <c r="E573" s="493"/>
      <c r="F573" s="69"/>
      <c r="G573" s="69"/>
      <c r="H573" s="178">
        <f t="shared" si="16"/>
        <v>0</v>
      </c>
      <c r="I573" s="178">
        <f t="shared" si="17"/>
        <v>0</v>
      </c>
      <c r="J573" s="109"/>
    </row>
    <row r="574" spans="1:10" hidden="1">
      <c r="A574" s="1558"/>
      <c r="B574" s="425"/>
      <c r="C574" s="561"/>
      <c r="D574" s="561"/>
      <c r="E574" s="493"/>
      <c r="F574" s="69"/>
      <c r="G574" s="69"/>
      <c r="H574" s="178">
        <f t="shared" si="16"/>
        <v>0</v>
      </c>
      <c r="I574" s="178">
        <f t="shared" si="17"/>
        <v>0</v>
      </c>
      <c r="J574" s="109"/>
    </row>
    <row r="575" spans="1:10" hidden="1">
      <c r="A575" s="1558"/>
      <c r="B575" s="425"/>
      <c r="C575" s="561"/>
      <c r="D575" s="561"/>
      <c r="E575" s="493"/>
      <c r="F575" s="69"/>
      <c r="G575" s="69"/>
      <c r="H575" s="178">
        <f t="shared" si="16"/>
        <v>0</v>
      </c>
      <c r="I575" s="178">
        <f t="shared" si="17"/>
        <v>0</v>
      </c>
      <c r="J575" s="109"/>
    </row>
    <row r="576" spans="1:10" hidden="1">
      <c r="A576" s="1558"/>
      <c r="B576" s="425"/>
      <c r="C576" s="561"/>
      <c r="D576" s="561"/>
      <c r="E576" s="493"/>
      <c r="F576" s="69"/>
      <c r="G576" s="69"/>
      <c r="H576" s="178">
        <f t="shared" si="16"/>
        <v>0</v>
      </c>
      <c r="I576" s="178">
        <f t="shared" si="17"/>
        <v>0</v>
      </c>
      <c r="J576" s="109"/>
    </row>
    <row r="577" spans="1:10" hidden="1">
      <c r="A577" s="1558"/>
      <c r="B577" s="425"/>
      <c r="C577" s="561"/>
      <c r="D577" s="561"/>
      <c r="E577" s="493"/>
      <c r="F577" s="69"/>
      <c r="G577" s="69"/>
      <c r="H577" s="178">
        <f t="shared" si="16"/>
        <v>0</v>
      </c>
      <c r="I577" s="178">
        <f t="shared" si="17"/>
        <v>0</v>
      </c>
      <c r="J577" s="109"/>
    </row>
    <row r="578" spans="1:10" hidden="1">
      <c r="A578" s="1558"/>
      <c r="B578" s="425"/>
      <c r="C578" s="561"/>
      <c r="D578" s="561"/>
      <c r="E578" s="493"/>
      <c r="F578" s="69"/>
      <c r="G578" s="69"/>
      <c r="H578" s="178">
        <f t="shared" si="16"/>
        <v>0</v>
      </c>
      <c r="I578" s="178">
        <f t="shared" si="17"/>
        <v>0</v>
      </c>
      <c r="J578" s="109"/>
    </row>
    <row r="579" spans="1:10" hidden="1">
      <c r="A579" s="1558"/>
      <c r="B579" s="425"/>
      <c r="C579" s="561"/>
      <c r="D579" s="561"/>
      <c r="E579" s="493"/>
      <c r="F579" s="69"/>
      <c r="G579" s="69"/>
      <c r="H579" s="178">
        <f t="shared" si="16"/>
        <v>0</v>
      </c>
      <c r="I579" s="178">
        <f t="shared" si="17"/>
        <v>0</v>
      </c>
      <c r="J579" s="109"/>
    </row>
    <row r="580" spans="1:10" hidden="1">
      <c r="A580" s="1558"/>
      <c r="B580" s="425"/>
      <c r="C580" s="561"/>
      <c r="D580" s="561"/>
      <c r="E580" s="493"/>
      <c r="F580" s="69"/>
      <c r="G580" s="69"/>
      <c r="H580" s="178">
        <f t="shared" si="16"/>
        <v>0</v>
      </c>
      <c r="I580" s="178">
        <f t="shared" si="17"/>
        <v>0</v>
      </c>
      <c r="J580" s="109"/>
    </row>
    <row r="581" spans="1:10" hidden="1">
      <c r="A581" s="1558"/>
      <c r="B581" s="425"/>
      <c r="C581" s="561"/>
      <c r="D581" s="561"/>
      <c r="E581" s="493"/>
      <c r="F581" s="69"/>
      <c r="G581" s="69"/>
      <c r="H581" s="178">
        <f t="shared" si="16"/>
        <v>0</v>
      </c>
      <c r="I581" s="178">
        <f t="shared" si="17"/>
        <v>0</v>
      </c>
      <c r="J581" s="109"/>
    </row>
    <row r="582" spans="1:10" hidden="1">
      <c r="A582" s="1558"/>
      <c r="B582" s="425"/>
      <c r="C582" s="561"/>
      <c r="D582" s="561"/>
      <c r="E582" s="493"/>
      <c r="F582" s="69"/>
      <c r="G582" s="69"/>
      <c r="H582" s="178">
        <f t="shared" si="16"/>
        <v>0</v>
      </c>
      <c r="I582" s="178">
        <f t="shared" si="17"/>
        <v>0</v>
      </c>
      <c r="J582" s="109"/>
    </row>
    <row r="583" spans="1:10" hidden="1">
      <c r="A583" s="1558"/>
      <c r="B583" s="425"/>
      <c r="C583" s="561"/>
      <c r="D583" s="561"/>
      <c r="E583" s="493"/>
      <c r="F583" s="69"/>
      <c r="G583" s="69"/>
      <c r="H583" s="178">
        <f t="shared" si="16"/>
        <v>0</v>
      </c>
      <c r="I583" s="178">
        <f t="shared" si="17"/>
        <v>0</v>
      </c>
      <c r="J583" s="109"/>
    </row>
    <row r="584" spans="1:10" hidden="1">
      <c r="A584" s="1558"/>
      <c r="B584" s="425"/>
      <c r="C584" s="561"/>
      <c r="D584" s="561"/>
      <c r="E584" s="493"/>
      <c r="F584" s="69"/>
      <c r="G584" s="69"/>
      <c r="H584" s="178">
        <f t="shared" si="16"/>
        <v>0</v>
      </c>
      <c r="I584" s="178">
        <f t="shared" si="17"/>
        <v>0</v>
      </c>
      <c r="J584" s="109"/>
    </row>
    <row r="585" spans="1:10" hidden="1">
      <c r="A585" s="1558"/>
      <c r="B585" s="427"/>
      <c r="C585" s="575"/>
      <c r="D585" s="575"/>
      <c r="E585" s="576"/>
      <c r="F585" s="69"/>
      <c r="G585" s="69"/>
      <c r="H585" s="178">
        <f t="shared" ref="H585:H648" si="18">E585+D585-C585</f>
        <v>0</v>
      </c>
      <c r="I585" s="178">
        <f t="shared" ref="I585:I648" si="19">SUM(C585:E585)</f>
        <v>0</v>
      </c>
      <c r="J585" s="109"/>
    </row>
    <row r="586" spans="1:10" hidden="1">
      <c r="A586" s="1558"/>
      <c r="B586" s="427"/>
      <c r="C586" s="578"/>
      <c r="D586" s="578"/>
      <c r="E586" s="579"/>
      <c r="F586" s="69"/>
      <c r="G586" s="69"/>
      <c r="H586" s="178">
        <f t="shared" si="18"/>
        <v>0</v>
      </c>
      <c r="I586" s="178">
        <f t="shared" si="19"/>
        <v>0</v>
      </c>
      <c r="J586" s="109"/>
    </row>
    <row r="587" spans="1:10" hidden="1">
      <c r="A587" s="1558"/>
      <c r="B587" s="427"/>
      <c r="C587" s="578"/>
      <c r="D587" s="578"/>
      <c r="E587" s="579"/>
      <c r="F587" s="69"/>
      <c r="G587" s="69"/>
      <c r="H587" s="178">
        <f t="shared" si="18"/>
        <v>0</v>
      </c>
      <c r="I587" s="178">
        <f t="shared" si="19"/>
        <v>0</v>
      </c>
      <c r="J587" s="109"/>
    </row>
    <row r="588" spans="1:10" hidden="1">
      <c r="A588" s="1558"/>
      <c r="B588" s="425"/>
      <c r="C588" s="578"/>
      <c r="D588" s="578"/>
      <c r="E588" s="580"/>
      <c r="F588" s="69"/>
      <c r="G588" s="69"/>
      <c r="H588" s="178">
        <f t="shared" si="18"/>
        <v>0</v>
      </c>
      <c r="I588" s="178">
        <f t="shared" si="19"/>
        <v>0</v>
      </c>
      <c r="J588" s="109"/>
    </row>
    <row r="589" spans="1:10" hidden="1">
      <c r="A589" s="1558"/>
      <c r="B589" s="425"/>
      <c r="C589" s="578"/>
      <c r="D589" s="578"/>
      <c r="E589" s="580"/>
      <c r="F589" s="69"/>
      <c r="G589" s="69"/>
      <c r="H589" s="178">
        <f t="shared" si="18"/>
        <v>0</v>
      </c>
      <c r="I589" s="178">
        <f t="shared" si="19"/>
        <v>0</v>
      </c>
      <c r="J589" s="109"/>
    </row>
    <row r="590" spans="1:10" hidden="1">
      <c r="A590" s="1558"/>
      <c r="B590" s="425"/>
      <c r="C590" s="578"/>
      <c r="D590" s="578"/>
      <c r="E590" s="580"/>
      <c r="F590" s="69"/>
      <c r="G590" s="69"/>
      <c r="H590" s="178">
        <f t="shared" si="18"/>
        <v>0</v>
      </c>
      <c r="I590" s="178">
        <f t="shared" si="19"/>
        <v>0</v>
      </c>
      <c r="J590" s="109"/>
    </row>
    <row r="591" spans="1:10" hidden="1">
      <c r="A591" s="1558"/>
      <c r="B591" s="425"/>
      <c r="C591" s="578"/>
      <c r="D591" s="578"/>
      <c r="E591" s="580"/>
      <c r="F591" s="69"/>
      <c r="G591" s="69"/>
      <c r="H591" s="178">
        <f t="shared" si="18"/>
        <v>0</v>
      </c>
      <c r="I591" s="178">
        <f t="shared" si="19"/>
        <v>0</v>
      </c>
      <c r="J591" s="109"/>
    </row>
    <row r="592" spans="1:10" hidden="1">
      <c r="A592" s="1558"/>
      <c r="B592" s="425"/>
      <c r="C592" s="578"/>
      <c r="D592" s="578"/>
      <c r="E592" s="580"/>
      <c r="F592" s="69"/>
      <c r="G592" s="69"/>
      <c r="H592" s="178">
        <f t="shared" si="18"/>
        <v>0</v>
      </c>
      <c r="I592" s="178">
        <f t="shared" si="19"/>
        <v>0</v>
      </c>
      <c r="J592" s="109"/>
    </row>
    <row r="593" spans="1:11" hidden="1">
      <c r="A593" s="1558"/>
      <c r="B593" s="425"/>
      <c r="C593" s="578"/>
      <c r="D593" s="578"/>
      <c r="E593" s="580"/>
      <c r="F593" s="69"/>
      <c r="G593" s="69"/>
      <c r="H593" s="178">
        <f t="shared" si="18"/>
        <v>0</v>
      </c>
      <c r="I593" s="178">
        <f t="shared" si="19"/>
        <v>0</v>
      </c>
      <c r="J593" s="109"/>
    </row>
    <row r="594" spans="1:11" hidden="1">
      <c r="A594" s="1558"/>
      <c r="B594" s="425"/>
      <c r="C594" s="578"/>
      <c r="D594" s="578"/>
      <c r="E594" s="580"/>
      <c r="F594" s="69"/>
      <c r="G594" s="69"/>
      <c r="H594" s="178">
        <f t="shared" si="18"/>
        <v>0</v>
      </c>
      <c r="I594" s="178">
        <f t="shared" si="19"/>
        <v>0</v>
      </c>
      <c r="J594" s="109"/>
    </row>
    <row r="595" spans="1:11" hidden="1">
      <c r="A595" s="1558"/>
      <c r="B595" s="425"/>
      <c r="C595" s="578"/>
      <c r="D595" s="578"/>
      <c r="E595" s="580"/>
      <c r="F595" s="69"/>
      <c r="G595" s="69"/>
      <c r="H595" s="178">
        <f t="shared" si="18"/>
        <v>0</v>
      </c>
      <c r="I595" s="178">
        <f t="shared" si="19"/>
        <v>0</v>
      </c>
      <c r="J595" s="109"/>
    </row>
    <row r="596" spans="1:11" hidden="1">
      <c r="A596" s="1558"/>
      <c r="B596" s="425"/>
      <c r="C596" s="578"/>
      <c r="D596" s="578"/>
      <c r="E596" s="580"/>
      <c r="F596" s="69"/>
      <c r="G596" s="69"/>
      <c r="H596" s="178">
        <f t="shared" si="18"/>
        <v>0</v>
      </c>
      <c r="I596" s="178">
        <f t="shared" si="19"/>
        <v>0</v>
      </c>
      <c r="J596" s="109"/>
    </row>
    <row r="597" spans="1:11" hidden="1">
      <c r="A597" s="1558"/>
      <c r="B597" s="427"/>
      <c r="C597" s="578"/>
      <c r="D597" s="578"/>
      <c r="E597" s="579"/>
      <c r="F597" s="69"/>
      <c r="G597" s="69"/>
      <c r="H597" s="178">
        <f t="shared" si="18"/>
        <v>0</v>
      </c>
      <c r="I597" s="178">
        <f t="shared" si="19"/>
        <v>0</v>
      </c>
      <c r="J597" s="109"/>
    </row>
    <row r="598" spans="1:11" hidden="1">
      <c r="A598" s="1558"/>
      <c r="B598" s="427"/>
      <c r="C598" s="578"/>
      <c r="D598" s="578"/>
      <c r="E598" s="579"/>
      <c r="F598" s="69"/>
      <c r="G598" s="69"/>
      <c r="H598" s="178">
        <f t="shared" si="18"/>
        <v>0</v>
      </c>
      <c r="I598" s="178">
        <f t="shared" si="19"/>
        <v>0</v>
      </c>
      <c r="J598" s="109"/>
    </row>
    <row r="599" spans="1:11" hidden="1">
      <c r="A599" s="1558"/>
      <c r="B599" s="427"/>
      <c r="C599" s="578"/>
      <c r="D599" s="578"/>
      <c r="E599" s="579"/>
      <c r="F599" s="69"/>
      <c r="G599" s="69"/>
      <c r="H599" s="178">
        <f t="shared" si="18"/>
        <v>0</v>
      </c>
      <c r="I599" s="178">
        <f t="shared" si="19"/>
        <v>0</v>
      </c>
      <c r="J599" s="109"/>
    </row>
    <row r="600" spans="1:11" hidden="1">
      <c r="A600" s="1558"/>
      <c r="B600" s="427"/>
      <c r="C600" s="578"/>
      <c r="D600" s="578"/>
      <c r="E600" s="579"/>
      <c r="F600" s="69"/>
      <c r="G600" s="69"/>
      <c r="H600" s="178">
        <f t="shared" si="18"/>
        <v>0</v>
      </c>
      <c r="I600" s="178">
        <f t="shared" si="19"/>
        <v>0</v>
      </c>
      <c r="J600" s="109"/>
    </row>
    <row r="601" spans="1:11" hidden="1">
      <c r="A601" s="1558"/>
      <c r="B601" s="425"/>
      <c r="C601" s="561"/>
      <c r="D601" s="561"/>
      <c r="E601" s="577"/>
      <c r="F601" s="69"/>
      <c r="G601" s="69"/>
      <c r="H601" s="178">
        <f t="shared" si="18"/>
        <v>0</v>
      </c>
      <c r="I601" s="178">
        <f t="shared" si="19"/>
        <v>0</v>
      </c>
      <c r="J601" s="109"/>
    </row>
    <row r="602" spans="1:11" hidden="1">
      <c r="A602" s="1558"/>
      <c r="B602" s="425"/>
      <c r="C602" s="561"/>
      <c r="D602" s="561"/>
      <c r="E602" s="577"/>
      <c r="F602" s="69"/>
      <c r="G602" s="69"/>
      <c r="H602" s="178">
        <f t="shared" si="18"/>
        <v>0</v>
      </c>
      <c r="I602" s="178">
        <f t="shared" si="19"/>
        <v>0</v>
      </c>
      <c r="J602" s="109"/>
    </row>
    <row r="603" spans="1:11" hidden="1">
      <c r="A603" s="1558"/>
      <c r="B603" s="425"/>
      <c r="C603" s="561"/>
      <c r="D603" s="561"/>
      <c r="E603" s="577"/>
      <c r="F603" s="69"/>
      <c r="G603" s="69"/>
      <c r="H603" s="178">
        <f t="shared" si="18"/>
        <v>0</v>
      </c>
      <c r="I603" s="178">
        <f t="shared" si="19"/>
        <v>0</v>
      </c>
      <c r="J603" s="109"/>
    </row>
    <row r="604" spans="1:11" ht="127.5" hidden="1" customHeight="1">
      <c r="A604" s="1558"/>
      <c r="B604" s="541"/>
      <c r="C604" s="561"/>
      <c r="D604" s="561"/>
      <c r="E604" s="577"/>
      <c r="F604" s="69"/>
      <c r="G604" s="69"/>
      <c r="H604" s="178">
        <f t="shared" si="18"/>
        <v>0</v>
      </c>
      <c r="I604" s="178">
        <f t="shared" si="19"/>
        <v>0</v>
      </c>
      <c r="J604" s="109"/>
    </row>
    <row r="605" spans="1:11">
      <c r="A605" s="1558"/>
      <c r="B605" s="209" t="s">
        <v>985</v>
      </c>
      <c r="C605" s="588">
        <f>SUM(C536:C604)</f>
        <v>9000</v>
      </c>
      <c r="D605" s="588">
        <f>SUM(D536:D604)</f>
        <v>9000</v>
      </c>
      <c r="E605" s="588">
        <f>SUM(E536:E604)</f>
        <v>0</v>
      </c>
      <c r="F605" s="115">
        <f>SUM(F536:F560)</f>
        <v>0</v>
      </c>
      <c r="G605" s="115">
        <f>SUM(G536:G560)</f>
        <v>0</v>
      </c>
      <c r="H605" s="1436">
        <f t="shared" si="18"/>
        <v>0</v>
      </c>
      <c r="I605" s="1436">
        <f t="shared" si="19"/>
        <v>18000</v>
      </c>
      <c r="J605" s="1439"/>
      <c r="K605" s="1435"/>
    </row>
    <row r="606" spans="1:11" hidden="1">
      <c r="A606" s="1558" t="s">
        <v>248</v>
      </c>
      <c r="B606" s="425"/>
      <c r="C606" s="561"/>
      <c r="D606" s="561"/>
      <c r="E606" s="561"/>
      <c r="F606" s="180"/>
      <c r="G606" s="180"/>
      <c r="H606" s="178">
        <f t="shared" si="18"/>
        <v>0</v>
      </c>
      <c r="I606" s="178">
        <f t="shared" si="19"/>
        <v>0</v>
      </c>
      <c r="J606" s="109"/>
    </row>
    <row r="607" spans="1:11" hidden="1">
      <c r="A607" s="1558"/>
      <c r="B607" s="425"/>
      <c r="C607" s="561"/>
      <c r="D607" s="561"/>
      <c r="E607" s="493"/>
      <c r="F607" s="180"/>
      <c r="G607" s="180"/>
      <c r="H607" s="178">
        <f t="shared" si="18"/>
        <v>0</v>
      </c>
      <c r="I607" s="178">
        <f t="shared" si="19"/>
        <v>0</v>
      </c>
      <c r="J607" s="109"/>
    </row>
    <row r="608" spans="1:11" hidden="1">
      <c r="A608" s="1558"/>
      <c r="B608" s="425"/>
      <c r="C608" s="561"/>
      <c r="D608" s="561"/>
      <c r="E608" s="493"/>
      <c r="F608" s="69"/>
      <c r="G608" s="69"/>
      <c r="H608" s="178">
        <f t="shared" si="18"/>
        <v>0</v>
      </c>
      <c r="I608" s="178">
        <f t="shared" si="19"/>
        <v>0</v>
      </c>
      <c r="J608" s="109"/>
    </row>
    <row r="609" spans="1:10" hidden="1">
      <c r="A609" s="1558"/>
      <c r="B609" s="425"/>
      <c r="C609" s="493"/>
      <c r="D609" s="493"/>
      <c r="E609" s="493"/>
      <c r="F609" s="69"/>
      <c r="G609" s="69"/>
      <c r="H609" s="178">
        <f t="shared" si="18"/>
        <v>0</v>
      </c>
      <c r="I609" s="178">
        <f t="shared" si="19"/>
        <v>0</v>
      </c>
      <c r="J609" s="109"/>
    </row>
    <row r="610" spans="1:10" hidden="1">
      <c r="A610" s="1558"/>
      <c r="B610" s="425"/>
      <c r="C610" s="561"/>
      <c r="D610" s="561"/>
      <c r="E610" s="493"/>
      <c r="F610" s="69"/>
      <c r="G610" s="69"/>
      <c r="H610" s="178">
        <f t="shared" si="18"/>
        <v>0</v>
      </c>
      <c r="I610" s="178">
        <f t="shared" si="19"/>
        <v>0</v>
      </c>
      <c r="J610" s="109"/>
    </row>
    <row r="611" spans="1:10" hidden="1">
      <c r="A611" s="1558"/>
      <c r="B611" s="425"/>
      <c r="C611" s="561"/>
      <c r="D611" s="561"/>
      <c r="E611" s="493"/>
      <c r="F611" s="69"/>
      <c r="G611" s="69"/>
      <c r="H611" s="178">
        <f t="shared" si="18"/>
        <v>0</v>
      </c>
      <c r="I611" s="178">
        <f t="shared" si="19"/>
        <v>0</v>
      </c>
      <c r="J611" s="109"/>
    </row>
    <row r="612" spans="1:10" hidden="1">
      <c r="A612" s="1558"/>
      <c r="B612" s="425"/>
      <c r="C612" s="561"/>
      <c r="D612" s="561"/>
      <c r="E612" s="493"/>
      <c r="F612" s="69"/>
      <c r="G612" s="69"/>
      <c r="H612" s="178">
        <f t="shared" si="18"/>
        <v>0</v>
      </c>
      <c r="I612" s="178">
        <f t="shared" si="19"/>
        <v>0</v>
      </c>
      <c r="J612" s="109"/>
    </row>
    <row r="613" spans="1:10" hidden="1">
      <c r="A613" s="1558"/>
      <c r="B613" s="425"/>
      <c r="C613" s="561"/>
      <c r="D613" s="561"/>
      <c r="E613" s="493"/>
      <c r="F613" s="69"/>
      <c r="G613" s="69"/>
      <c r="H613" s="178">
        <f t="shared" si="18"/>
        <v>0</v>
      </c>
      <c r="I613" s="178">
        <f t="shared" si="19"/>
        <v>0</v>
      </c>
      <c r="J613" s="109"/>
    </row>
    <row r="614" spans="1:10" hidden="1">
      <c r="A614" s="1558"/>
      <c r="B614" s="425"/>
      <c r="C614" s="561"/>
      <c r="D614" s="561"/>
      <c r="E614" s="493"/>
      <c r="F614" s="69"/>
      <c r="G614" s="69"/>
      <c r="H614" s="178">
        <f t="shared" si="18"/>
        <v>0</v>
      </c>
      <c r="I614" s="178">
        <f t="shared" si="19"/>
        <v>0</v>
      </c>
      <c r="J614" s="109"/>
    </row>
    <row r="615" spans="1:10" hidden="1">
      <c r="A615" s="1558"/>
      <c r="B615" s="425"/>
      <c r="C615" s="493"/>
      <c r="D615" s="493"/>
      <c r="E615" s="493"/>
      <c r="F615" s="69"/>
      <c r="G615" s="69"/>
      <c r="H615" s="178">
        <f t="shared" si="18"/>
        <v>0</v>
      </c>
      <c r="I615" s="178">
        <f t="shared" si="19"/>
        <v>0</v>
      </c>
      <c r="J615" s="109"/>
    </row>
    <row r="616" spans="1:10" hidden="1">
      <c r="A616" s="1558"/>
      <c r="B616" s="425"/>
      <c r="C616" s="493"/>
      <c r="D616" s="493"/>
      <c r="E616" s="493"/>
      <c r="F616" s="69"/>
      <c r="G616" s="69"/>
      <c r="H616" s="178">
        <f t="shared" si="18"/>
        <v>0</v>
      </c>
      <c r="I616" s="178">
        <f t="shared" si="19"/>
        <v>0</v>
      </c>
      <c r="J616" s="109"/>
    </row>
    <row r="617" spans="1:10" hidden="1">
      <c r="A617" s="1558"/>
      <c r="B617" s="425"/>
      <c r="C617" s="493"/>
      <c r="D617" s="493"/>
      <c r="E617" s="493"/>
      <c r="F617" s="69"/>
      <c r="G617" s="69"/>
      <c r="H617" s="178">
        <f t="shared" si="18"/>
        <v>0</v>
      </c>
      <c r="I617" s="178">
        <f t="shared" si="19"/>
        <v>0</v>
      </c>
      <c r="J617" s="109"/>
    </row>
    <row r="618" spans="1:10" hidden="1">
      <c r="A618" s="1558"/>
      <c r="B618" s="425"/>
      <c r="C618" s="561"/>
      <c r="D618" s="561"/>
      <c r="E618" s="493"/>
      <c r="F618" s="69"/>
      <c r="G618" s="69"/>
      <c r="H618" s="178">
        <f t="shared" si="18"/>
        <v>0</v>
      </c>
      <c r="I618" s="178">
        <f t="shared" si="19"/>
        <v>0</v>
      </c>
      <c r="J618" s="109"/>
    </row>
    <row r="619" spans="1:10" hidden="1">
      <c r="A619" s="1558"/>
      <c r="B619" s="425"/>
      <c r="C619" s="561"/>
      <c r="D619" s="561"/>
      <c r="E619" s="493"/>
      <c r="F619" s="69"/>
      <c r="G619" s="69"/>
      <c r="H619" s="178">
        <f t="shared" si="18"/>
        <v>0</v>
      </c>
      <c r="I619" s="178">
        <f t="shared" si="19"/>
        <v>0</v>
      </c>
      <c r="J619" s="109"/>
    </row>
    <row r="620" spans="1:10" hidden="1">
      <c r="A620" s="1558"/>
      <c r="B620" s="425"/>
      <c r="C620" s="561"/>
      <c r="D620" s="561"/>
      <c r="E620" s="577"/>
      <c r="F620" s="69"/>
      <c r="G620" s="69"/>
      <c r="H620" s="178">
        <f t="shared" si="18"/>
        <v>0</v>
      </c>
      <c r="I620" s="178">
        <f t="shared" si="19"/>
        <v>0</v>
      </c>
      <c r="J620" s="109"/>
    </row>
    <row r="621" spans="1:10" hidden="1">
      <c r="A621" s="1558"/>
      <c r="B621" s="425"/>
      <c r="C621" s="561"/>
      <c r="D621" s="561"/>
      <c r="E621" s="577"/>
      <c r="F621" s="69"/>
      <c r="G621" s="69"/>
      <c r="H621" s="178">
        <f t="shared" si="18"/>
        <v>0</v>
      </c>
      <c r="I621" s="178">
        <f t="shared" si="19"/>
        <v>0</v>
      </c>
      <c r="J621" s="109"/>
    </row>
    <row r="622" spans="1:10" hidden="1">
      <c r="A622" s="1558"/>
      <c r="B622" s="425"/>
      <c r="C622" s="561"/>
      <c r="D622" s="561"/>
      <c r="E622" s="577"/>
      <c r="F622" s="69"/>
      <c r="G622" s="69"/>
      <c r="H622" s="178">
        <f t="shared" si="18"/>
        <v>0</v>
      </c>
      <c r="I622" s="178">
        <f t="shared" si="19"/>
        <v>0</v>
      </c>
      <c r="J622" s="109"/>
    </row>
    <row r="623" spans="1:10" hidden="1">
      <c r="A623" s="1558"/>
      <c r="B623" s="425"/>
      <c r="C623" s="561"/>
      <c r="D623" s="561"/>
      <c r="E623" s="577"/>
      <c r="F623" s="69"/>
      <c r="G623" s="69"/>
      <c r="H623" s="178">
        <f t="shared" si="18"/>
        <v>0</v>
      </c>
      <c r="I623" s="178">
        <f t="shared" si="19"/>
        <v>0</v>
      </c>
      <c r="J623" s="109"/>
    </row>
    <row r="624" spans="1:10" hidden="1">
      <c r="A624" s="1558"/>
      <c r="B624" s="425"/>
      <c r="C624" s="561"/>
      <c r="D624" s="561"/>
      <c r="E624" s="577"/>
      <c r="F624" s="69"/>
      <c r="G624" s="69"/>
      <c r="H624" s="178">
        <f t="shared" si="18"/>
        <v>0</v>
      </c>
      <c r="I624" s="178">
        <f t="shared" si="19"/>
        <v>0</v>
      </c>
      <c r="J624" s="109"/>
    </row>
    <row r="625" spans="1:10" hidden="1">
      <c r="A625" s="1558"/>
      <c r="B625" s="425"/>
      <c r="C625" s="561"/>
      <c r="D625" s="561"/>
      <c r="E625" s="577"/>
      <c r="F625" s="69"/>
      <c r="G625" s="69"/>
      <c r="H625" s="178">
        <f t="shared" si="18"/>
        <v>0</v>
      </c>
      <c r="I625" s="178">
        <f t="shared" si="19"/>
        <v>0</v>
      </c>
      <c r="J625" s="109"/>
    </row>
    <row r="626" spans="1:10" hidden="1">
      <c r="A626" s="1558"/>
      <c r="B626" s="425"/>
      <c r="C626" s="561"/>
      <c r="D626" s="561"/>
      <c r="E626" s="577"/>
      <c r="F626" s="69"/>
      <c r="G626" s="69"/>
      <c r="H626" s="178">
        <f t="shared" si="18"/>
        <v>0</v>
      </c>
      <c r="I626" s="178">
        <f t="shared" si="19"/>
        <v>0</v>
      </c>
      <c r="J626" s="109"/>
    </row>
    <row r="627" spans="1:10" hidden="1">
      <c r="A627" s="1558"/>
      <c r="B627" s="428" t="s">
        <v>199</v>
      </c>
      <c r="C627" s="559">
        <f>SUM(C606:C626)</f>
        <v>0</v>
      </c>
      <c r="D627" s="559">
        <f>SUM(D606:D626)</f>
        <v>0</v>
      </c>
      <c r="E627" s="559">
        <f>SUM(E606:E626)</f>
        <v>0</v>
      </c>
      <c r="F627" s="115">
        <f>SUM(F606:F608)</f>
        <v>0</v>
      </c>
      <c r="G627" s="115">
        <f>SUM(G606:G608)</f>
        <v>0</v>
      </c>
      <c r="H627" s="178">
        <f t="shared" si="18"/>
        <v>0</v>
      </c>
      <c r="I627" s="178">
        <f t="shared" si="19"/>
        <v>0</v>
      </c>
      <c r="J627" s="109"/>
    </row>
    <row r="628" spans="1:10" hidden="1">
      <c r="A628" s="1558" t="s">
        <v>249</v>
      </c>
      <c r="B628" s="426"/>
      <c r="C628" s="561"/>
      <c r="D628" s="561"/>
      <c r="E628" s="493"/>
      <c r="F628" s="180"/>
      <c r="G628" s="180"/>
      <c r="H628" s="178">
        <f t="shared" si="18"/>
        <v>0</v>
      </c>
      <c r="I628" s="178">
        <f t="shared" si="19"/>
        <v>0</v>
      </c>
      <c r="J628" s="109"/>
    </row>
    <row r="629" spans="1:10" hidden="1">
      <c r="A629" s="1558"/>
      <c r="B629" s="426"/>
      <c r="C629" s="561"/>
      <c r="D629" s="561"/>
      <c r="E629" s="493"/>
      <c r="F629" s="69"/>
      <c r="G629" s="69"/>
      <c r="H629" s="178">
        <f t="shared" si="18"/>
        <v>0</v>
      </c>
      <c r="I629" s="178">
        <f t="shared" si="19"/>
        <v>0</v>
      </c>
      <c r="J629" s="109"/>
    </row>
    <row r="630" spans="1:10" hidden="1">
      <c r="A630" s="1558"/>
      <c r="B630" s="425"/>
      <c r="C630" s="561"/>
      <c r="D630" s="561"/>
      <c r="E630" s="561"/>
      <c r="F630" s="69"/>
      <c r="G630" s="69"/>
      <c r="H630" s="178">
        <f t="shared" si="18"/>
        <v>0</v>
      </c>
      <c r="I630" s="178">
        <f t="shared" si="19"/>
        <v>0</v>
      </c>
      <c r="J630" s="109"/>
    </row>
    <row r="631" spans="1:10" hidden="1">
      <c r="A631" s="1558"/>
      <c r="B631" s="425"/>
      <c r="C631" s="561"/>
      <c r="D631" s="561"/>
      <c r="E631" s="561"/>
      <c r="F631" s="69"/>
      <c r="G631" s="69"/>
      <c r="H631" s="178">
        <f t="shared" si="18"/>
        <v>0</v>
      </c>
      <c r="I631" s="178">
        <f t="shared" si="19"/>
        <v>0</v>
      </c>
      <c r="J631" s="109"/>
    </row>
    <row r="632" spans="1:10" hidden="1">
      <c r="A632" s="1558"/>
      <c r="B632" s="425"/>
      <c r="C632" s="561"/>
      <c r="D632" s="561"/>
      <c r="E632" s="561"/>
      <c r="F632" s="69"/>
      <c r="G632" s="69"/>
      <c r="H632" s="178">
        <f t="shared" si="18"/>
        <v>0</v>
      </c>
      <c r="I632" s="178">
        <f t="shared" si="19"/>
        <v>0</v>
      </c>
      <c r="J632" s="109"/>
    </row>
    <row r="633" spans="1:10" hidden="1">
      <c r="A633" s="1558"/>
      <c r="B633" s="425"/>
      <c r="C633" s="561"/>
      <c r="D633" s="561"/>
      <c r="E633" s="561"/>
      <c r="F633" s="69"/>
      <c r="G633" s="69"/>
      <c r="H633" s="178">
        <f t="shared" si="18"/>
        <v>0</v>
      </c>
      <c r="I633" s="178">
        <f t="shared" si="19"/>
        <v>0</v>
      </c>
      <c r="J633" s="109"/>
    </row>
    <row r="634" spans="1:10" hidden="1">
      <c r="A634" s="1558"/>
      <c r="B634" s="425"/>
      <c r="C634" s="561"/>
      <c r="D634" s="561"/>
      <c r="E634" s="493"/>
      <c r="F634" s="69"/>
      <c r="G634" s="69"/>
      <c r="H634" s="178">
        <f t="shared" si="18"/>
        <v>0</v>
      </c>
      <c r="I634" s="178">
        <f t="shared" si="19"/>
        <v>0</v>
      </c>
      <c r="J634" s="109"/>
    </row>
    <row r="635" spans="1:10" hidden="1">
      <c r="A635" s="1558"/>
      <c r="B635" s="425"/>
      <c r="C635" s="493"/>
      <c r="D635" s="493"/>
      <c r="E635" s="493"/>
      <c r="F635" s="69"/>
      <c r="G635" s="69"/>
      <c r="H635" s="178">
        <f t="shared" si="18"/>
        <v>0</v>
      </c>
      <c r="I635" s="178">
        <f t="shared" si="19"/>
        <v>0</v>
      </c>
      <c r="J635" s="109"/>
    </row>
    <row r="636" spans="1:10" hidden="1">
      <c r="A636" s="1558"/>
      <c r="B636" s="425"/>
      <c r="C636" s="561"/>
      <c r="D636" s="561"/>
      <c r="E636" s="493"/>
      <c r="F636" s="69"/>
      <c r="G636" s="69"/>
      <c r="H636" s="178">
        <f t="shared" si="18"/>
        <v>0</v>
      </c>
      <c r="I636" s="178">
        <f t="shared" si="19"/>
        <v>0</v>
      </c>
      <c r="J636" s="109"/>
    </row>
    <row r="637" spans="1:10" hidden="1">
      <c r="A637" s="1558"/>
      <c r="B637" s="427"/>
      <c r="C637" s="578"/>
      <c r="D637" s="578"/>
      <c r="E637" s="579"/>
      <c r="F637" s="69"/>
      <c r="G637" s="69"/>
      <c r="H637" s="178">
        <f t="shared" si="18"/>
        <v>0</v>
      </c>
      <c r="I637" s="178">
        <f t="shared" si="19"/>
        <v>0</v>
      </c>
      <c r="J637" s="109"/>
    </row>
    <row r="638" spans="1:10" hidden="1">
      <c r="A638" s="1558"/>
      <c r="B638" s="425"/>
      <c r="C638" s="561"/>
      <c r="D638" s="561"/>
      <c r="E638" s="577"/>
      <c r="F638" s="69"/>
      <c r="G638" s="69"/>
      <c r="H638" s="178">
        <f t="shared" si="18"/>
        <v>0</v>
      </c>
      <c r="I638" s="178">
        <f t="shared" si="19"/>
        <v>0</v>
      </c>
      <c r="J638" s="109"/>
    </row>
    <row r="639" spans="1:10" hidden="1">
      <c r="A639" s="1558"/>
      <c r="B639" s="425"/>
      <c r="C639" s="561"/>
      <c r="D639" s="561"/>
      <c r="E639" s="577"/>
      <c r="F639" s="69"/>
      <c r="G639" s="69"/>
      <c r="H639" s="178">
        <f t="shared" si="18"/>
        <v>0</v>
      </c>
      <c r="I639" s="178">
        <f t="shared" si="19"/>
        <v>0</v>
      </c>
      <c r="J639" s="109"/>
    </row>
    <row r="640" spans="1:10" hidden="1">
      <c r="A640" s="1558"/>
      <c r="B640" s="425"/>
      <c r="C640" s="561"/>
      <c r="D640" s="561"/>
      <c r="E640" s="577"/>
      <c r="F640" s="69"/>
      <c r="G640" s="69"/>
      <c r="H640" s="178">
        <f t="shared" si="18"/>
        <v>0</v>
      </c>
      <c r="I640" s="178">
        <f t="shared" si="19"/>
        <v>0</v>
      </c>
      <c r="J640" s="109"/>
    </row>
    <row r="641" spans="1:10" hidden="1">
      <c r="A641" s="1558"/>
      <c r="B641" s="425"/>
      <c r="C641" s="561"/>
      <c r="D641" s="561"/>
      <c r="E641" s="577"/>
      <c r="F641" s="69"/>
      <c r="G641" s="69"/>
      <c r="H641" s="178">
        <f t="shared" si="18"/>
        <v>0</v>
      </c>
      <c r="I641" s="178">
        <f t="shared" si="19"/>
        <v>0</v>
      </c>
      <c r="J641" s="109"/>
    </row>
    <row r="642" spans="1:10" hidden="1">
      <c r="A642" s="1558"/>
      <c r="B642" s="425"/>
      <c r="C642" s="561"/>
      <c r="D642" s="561"/>
      <c r="E642" s="577"/>
      <c r="F642" s="69"/>
      <c r="G642" s="69"/>
      <c r="H642" s="178">
        <f t="shared" si="18"/>
        <v>0</v>
      </c>
      <c r="I642" s="178">
        <f t="shared" si="19"/>
        <v>0</v>
      </c>
      <c r="J642" s="109"/>
    </row>
    <row r="643" spans="1:10" hidden="1">
      <c r="A643" s="1558"/>
      <c r="B643" s="425"/>
      <c r="C643" s="561"/>
      <c r="D643" s="561"/>
      <c r="E643" s="577"/>
      <c r="F643" s="69"/>
      <c r="G643" s="69"/>
      <c r="H643" s="178">
        <f t="shared" si="18"/>
        <v>0</v>
      </c>
      <c r="I643" s="178">
        <f t="shared" si="19"/>
        <v>0</v>
      </c>
      <c r="J643" s="109"/>
    </row>
    <row r="644" spans="1:10" hidden="1">
      <c r="A644" s="1558"/>
      <c r="B644" s="425"/>
      <c r="C644" s="561"/>
      <c r="D644" s="561"/>
      <c r="E644" s="577"/>
      <c r="F644" s="69"/>
      <c r="G644" s="69"/>
      <c r="H644" s="178">
        <f t="shared" si="18"/>
        <v>0</v>
      </c>
      <c r="I644" s="178">
        <f t="shared" si="19"/>
        <v>0</v>
      </c>
      <c r="J644" s="109"/>
    </row>
    <row r="645" spans="1:10" hidden="1">
      <c r="A645" s="1558"/>
      <c r="B645" s="425"/>
      <c r="C645" s="561"/>
      <c r="D645" s="561"/>
      <c r="E645" s="577"/>
      <c r="F645" s="69"/>
      <c r="G645" s="69"/>
      <c r="H645" s="178">
        <f t="shared" si="18"/>
        <v>0</v>
      </c>
      <c r="I645" s="178">
        <f t="shared" si="19"/>
        <v>0</v>
      </c>
      <c r="J645" s="109"/>
    </row>
    <row r="646" spans="1:10" hidden="1">
      <c r="A646" s="1558"/>
      <c r="B646" s="425"/>
      <c r="C646" s="561"/>
      <c r="D646" s="561"/>
      <c r="E646" s="577"/>
      <c r="F646" s="69"/>
      <c r="G646" s="69"/>
      <c r="H646" s="178">
        <f t="shared" si="18"/>
        <v>0</v>
      </c>
      <c r="I646" s="178">
        <f t="shared" si="19"/>
        <v>0</v>
      </c>
      <c r="J646" s="109"/>
    </row>
    <row r="647" spans="1:10" hidden="1">
      <c r="A647" s="1558"/>
      <c r="B647" s="425"/>
      <c r="C647" s="561"/>
      <c r="D647" s="561"/>
      <c r="E647" s="577"/>
      <c r="F647" s="69"/>
      <c r="G647" s="69"/>
      <c r="H647" s="178">
        <f t="shared" si="18"/>
        <v>0</v>
      </c>
      <c r="I647" s="178">
        <f t="shared" si="19"/>
        <v>0</v>
      </c>
      <c r="J647" s="109"/>
    </row>
    <row r="648" spans="1:10" hidden="1">
      <c r="A648" s="1558"/>
      <c r="B648" s="425"/>
      <c r="C648" s="561"/>
      <c r="D648" s="561"/>
      <c r="E648" s="577"/>
      <c r="F648" s="69"/>
      <c r="G648" s="69"/>
      <c r="H648" s="178">
        <f t="shared" si="18"/>
        <v>0</v>
      </c>
      <c r="I648" s="178">
        <f t="shared" si="19"/>
        <v>0</v>
      </c>
      <c r="J648" s="109"/>
    </row>
    <row r="649" spans="1:10" hidden="1">
      <c r="A649" s="1558"/>
      <c r="B649" s="425"/>
      <c r="C649" s="561"/>
      <c r="D649" s="561"/>
      <c r="E649" s="577"/>
      <c r="F649" s="69"/>
      <c r="G649" s="69"/>
      <c r="H649" s="178">
        <f t="shared" ref="H649:H712" si="20">E649+D649-C649</f>
        <v>0</v>
      </c>
      <c r="I649" s="178">
        <f t="shared" ref="I649:I712" si="21">SUM(C649:E649)</f>
        <v>0</v>
      </c>
      <c r="J649" s="109"/>
    </row>
    <row r="650" spans="1:10" hidden="1">
      <c r="A650" s="1558"/>
      <c r="B650" s="425"/>
      <c r="C650" s="561"/>
      <c r="D650" s="561"/>
      <c r="E650" s="577"/>
      <c r="F650" s="69"/>
      <c r="G650" s="69"/>
      <c r="H650" s="178">
        <f t="shared" si="20"/>
        <v>0</v>
      </c>
      <c r="I650" s="178">
        <f t="shared" si="21"/>
        <v>0</v>
      </c>
      <c r="J650" s="109"/>
    </row>
    <row r="651" spans="1:10" hidden="1">
      <c r="A651" s="1558"/>
      <c r="B651" s="425"/>
      <c r="C651" s="561"/>
      <c r="D651" s="561"/>
      <c r="E651" s="577"/>
      <c r="F651" s="69"/>
      <c r="G651" s="69"/>
      <c r="H651" s="178">
        <f t="shared" si="20"/>
        <v>0</v>
      </c>
      <c r="I651" s="178">
        <f t="shared" si="21"/>
        <v>0</v>
      </c>
      <c r="J651" s="109"/>
    </row>
    <row r="652" spans="1:10" hidden="1">
      <c r="A652" s="1558"/>
      <c r="B652" s="425"/>
      <c r="C652" s="561"/>
      <c r="D652" s="561"/>
      <c r="E652" s="577"/>
      <c r="F652" s="69"/>
      <c r="G652" s="69"/>
      <c r="H652" s="178">
        <f t="shared" si="20"/>
        <v>0</v>
      </c>
      <c r="I652" s="178">
        <f t="shared" si="21"/>
        <v>0</v>
      </c>
      <c r="J652" s="109"/>
    </row>
    <row r="653" spans="1:10" hidden="1">
      <c r="A653" s="1558"/>
      <c r="B653" s="425"/>
      <c r="C653" s="561"/>
      <c r="D653" s="561"/>
      <c r="E653" s="577"/>
      <c r="F653" s="69"/>
      <c r="G653" s="69"/>
      <c r="H653" s="178">
        <f t="shared" si="20"/>
        <v>0</v>
      </c>
      <c r="I653" s="178">
        <f t="shared" si="21"/>
        <v>0</v>
      </c>
      <c r="J653" s="109"/>
    </row>
    <row r="654" spans="1:10" hidden="1">
      <c r="A654" s="1558"/>
      <c r="B654" s="425"/>
      <c r="C654" s="561"/>
      <c r="D654" s="561"/>
      <c r="E654" s="577"/>
      <c r="F654" s="69"/>
      <c r="G654" s="69"/>
      <c r="H654" s="178">
        <f t="shared" si="20"/>
        <v>0</v>
      </c>
      <c r="I654" s="178">
        <f t="shared" si="21"/>
        <v>0</v>
      </c>
      <c r="J654" s="109"/>
    </row>
    <row r="655" spans="1:10" hidden="1">
      <c r="A655" s="1558"/>
      <c r="B655" s="425"/>
      <c r="C655" s="561"/>
      <c r="D655" s="561"/>
      <c r="E655" s="577"/>
      <c r="F655" s="69"/>
      <c r="G655" s="69"/>
      <c r="H655" s="178">
        <f t="shared" si="20"/>
        <v>0</v>
      </c>
      <c r="I655" s="178">
        <f t="shared" si="21"/>
        <v>0</v>
      </c>
      <c r="J655" s="109"/>
    </row>
    <row r="656" spans="1:10" hidden="1">
      <c r="A656" s="1558"/>
      <c r="B656" s="425"/>
      <c r="C656" s="561"/>
      <c r="D656" s="561"/>
      <c r="E656" s="577"/>
      <c r="F656" s="69"/>
      <c r="G656" s="69"/>
      <c r="H656" s="178">
        <f t="shared" si="20"/>
        <v>0</v>
      </c>
      <c r="I656" s="178">
        <f t="shared" si="21"/>
        <v>0</v>
      </c>
      <c r="J656" s="109"/>
    </row>
    <row r="657" spans="1:11" hidden="1">
      <c r="A657" s="1558"/>
      <c r="B657" s="425"/>
      <c r="C657" s="561"/>
      <c r="D657" s="561"/>
      <c r="E657" s="577"/>
      <c r="F657" s="69"/>
      <c r="G657" s="69"/>
      <c r="H657" s="178">
        <f t="shared" si="20"/>
        <v>0</v>
      </c>
      <c r="I657" s="178">
        <f t="shared" si="21"/>
        <v>0</v>
      </c>
      <c r="J657" s="109"/>
    </row>
    <row r="658" spans="1:11" hidden="1">
      <c r="A658" s="1558"/>
      <c r="B658" s="425"/>
      <c r="C658" s="561"/>
      <c r="D658" s="561"/>
      <c r="E658" s="577"/>
      <c r="F658" s="69"/>
      <c r="G658" s="69"/>
      <c r="H658" s="178">
        <f t="shared" si="20"/>
        <v>0</v>
      </c>
      <c r="I658" s="178">
        <f t="shared" si="21"/>
        <v>0</v>
      </c>
      <c r="J658" s="109"/>
    </row>
    <row r="659" spans="1:11" hidden="1">
      <c r="A659" s="1558"/>
      <c r="B659" s="428" t="s">
        <v>199</v>
      </c>
      <c r="C659" s="559">
        <f>SUM(C628:C658)</f>
        <v>0</v>
      </c>
      <c r="D659" s="559">
        <f>SUM(D628:D658)</f>
        <v>0</v>
      </c>
      <c r="E659" s="559">
        <f>SUM(E628:E658)</f>
        <v>0</v>
      </c>
      <c r="F659" s="115">
        <f>SUM(F628:F629)</f>
        <v>0</v>
      </c>
      <c r="G659" s="115">
        <f>SUM(G628:G629)</f>
        <v>0</v>
      </c>
      <c r="H659" s="178">
        <f t="shared" si="20"/>
        <v>0</v>
      </c>
      <c r="I659" s="178">
        <f t="shared" si="21"/>
        <v>0</v>
      </c>
      <c r="J659" s="109"/>
    </row>
    <row r="660" spans="1:11" ht="150">
      <c r="A660" s="1553" t="s">
        <v>1151</v>
      </c>
      <c r="B660" s="1175" t="s">
        <v>1271</v>
      </c>
      <c r="C660" s="1182">
        <v>70000</v>
      </c>
      <c r="D660" s="1182">
        <v>70000</v>
      </c>
      <c r="E660" s="1182"/>
      <c r="F660" s="1178"/>
      <c r="G660" s="1178"/>
      <c r="H660" s="1436">
        <f t="shared" si="20"/>
        <v>0</v>
      </c>
      <c r="I660" s="1436">
        <f t="shared" si="21"/>
        <v>140000</v>
      </c>
      <c r="J660" s="1439"/>
      <c r="K660" s="1435"/>
    </row>
    <row r="661" spans="1:11" s="376" customFormat="1" hidden="1">
      <c r="A661" s="1554"/>
      <c r="B661" s="371"/>
      <c r="C661" s="818"/>
      <c r="D661" s="818"/>
      <c r="E661" s="819"/>
      <c r="F661" s="820"/>
      <c r="G661" s="820"/>
      <c r="H661" s="178">
        <f t="shared" si="20"/>
        <v>0</v>
      </c>
      <c r="I661" s="178">
        <f t="shared" si="21"/>
        <v>0</v>
      </c>
    </row>
    <row r="662" spans="1:11" hidden="1">
      <c r="A662" s="1554"/>
      <c r="B662" s="425"/>
      <c r="C662" s="561"/>
      <c r="D662" s="561"/>
      <c r="E662" s="561"/>
      <c r="F662" s="69"/>
      <c r="G662" s="69"/>
      <c r="H662" s="178">
        <f t="shared" si="20"/>
        <v>0</v>
      </c>
      <c r="I662" s="178">
        <f t="shared" si="21"/>
        <v>0</v>
      </c>
      <c r="J662" s="109"/>
    </row>
    <row r="663" spans="1:11" hidden="1">
      <c r="A663" s="1554"/>
      <c r="B663" s="425"/>
      <c r="C663" s="561"/>
      <c r="D663" s="561"/>
      <c r="E663" s="561"/>
      <c r="F663" s="69"/>
      <c r="G663" s="69"/>
      <c r="H663" s="178">
        <f t="shared" si="20"/>
        <v>0</v>
      </c>
      <c r="I663" s="178">
        <f t="shared" si="21"/>
        <v>0</v>
      </c>
      <c r="J663" s="109"/>
    </row>
    <row r="664" spans="1:11" hidden="1">
      <c r="A664" s="1554"/>
      <c r="B664" s="425"/>
      <c r="C664" s="561"/>
      <c r="D664" s="561"/>
      <c r="E664" s="561"/>
      <c r="F664" s="69"/>
      <c r="G664" s="69"/>
      <c r="H664" s="178">
        <f t="shared" si="20"/>
        <v>0</v>
      </c>
      <c r="I664" s="178">
        <f t="shared" si="21"/>
        <v>0</v>
      </c>
      <c r="J664" s="109"/>
    </row>
    <row r="665" spans="1:11" hidden="1">
      <c r="A665" s="1554"/>
      <c r="B665" s="425"/>
      <c r="C665" s="561"/>
      <c r="D665" s="561"/>
      <c r="E665" s="561"/>
      <c r="F665" s="69"/>
      <c r="G665" s="69"/>
      <c r="H665" s="178">
        <f t="shared" si="20"/>
        <v>0</v>
      </c>
      <c r="I665" s="178">
        <f t="shared" si="21"/>
        <v>0</v>
      </c>
      <c r="J665" s="109"/>
    </row>
    <row r="666" spans="1:11" hidden="1">
      <c r="A666" s="1554"/>
      <c r="B666" s="425"/>
      <c r="C666" s="561"/>
      <c r="D666" s="561"/>
      <c r="E666" s="561"/>
      <c r="F666" s="69"/>
      <c r="G666" s="69"/>
      <c r="H666" s="178">
        <f t="shared" si="20"/>
        <v>0</v>
      </c>
      <c r="I666" s="178">
        <f t="shared" si="21"/>
        <v>0</v>
      </c>
      <c r="J666" s="109"/>
    </row>
    <row r="667" spans="1:11" hidden="1">
      <c r="A667" s="1554"/>
      <c r="B667" s="425"/>
      <c r="C667" s="561"/>
      <c r="D667" s="561"/>
      <c r="E667" s="561"/>
      <c r="F667" s="69"/>
      <c r="G667" s="69"/>
      <c r="H667" s="178">
        <f t="shared" si="20"/>
        <v>0</v>
      </c>
      <c r="I667" s="178">
        <f t="shared" si="21"/>
        <v>0</v>
      </c>
      <c r="J667" s="109"/>
    </row>
    <row r="668" spans="1:11" hidden="1">
      <c r="A668" s="1554"/>
      <c r="B668" s="425"/>
      <c r="C668" s="561"/>
      <c r="D668" s="561"/>
      <c r="E668" s="561"/>
      <c r="F668" s="69"/>
      <c r="G668" s="69"/>
      <c r="H668" s="178">
        <f t="shared" si="20"/>
        <v>0</v>
      </c>
      <c r="I668" s="178">
        <f t="shared" si="21"/>
        <v>0</v>
      </c>
      <c r="J668" s="109"/>
    </row>
    <row r="669" spans="1:11" hidden="1">
      <c r="A669" s="1554"/>
      <c r="B669" s="425"/>
      <c r="C669" s="561"/>
      <c r="D669" s="561"/>
      <c r="E669" s="561"/>
      <c r="F669" s="69"/>
      <c r="G669" s="69"/>
      <c r="H669" s="178">
        <f t="shared" si="20"/>
        <v>0</v>
      </c>
      <c r="I669" s="178">
        <f t="shared" si="21"/>
        <v>0</v>
      </c>
      <c r="J669" s="109"/>
    </row>
    <row r="670" spans="1:11" hidden="1">
      <c r="A670" s="1554"/>
      <c r="B670" s="425"/>
      <c r="C670" s="561"/>
      <c r="D670" s="561"/>
      <c r="E670" s="561"/>
      <c r="F670" s="69"/>
      <c r="G670" s="69"/>
      <c r="H670" s="178">
        <f t="shared" si="20"/>
        <v>0</v>
      </c>
      <c r="I670" s="178">
        <f t="shared" si="21"/>
        <v>0</v>
      </c>
      <c r="J670" s="109"/>
    </row>
    <row r="671" spans="1:11" hidden="1">
      <c r="A671" s="1554"/>
      <c r="B671" s="425"/>
      <c r="C671" s="561"/>
      <c r="D671" s="561"/>
      <c r="E671" s="561"/>
      <c r="F671" s="69"/>
      <c r="G671" s="69"/>
      <c r="H671" s="178">
        <f t="shared" si="20"/>
        <v>0</v>
      </c>
      <c r="I671" s="178">
        <f t="shared" si="21"/>
        <v>0</v>
      </c>
      <c r="J671" s="109"/>
    </row>
    <row r="672" spans="1:11" hidden="1">
      <c r="A672" s="1554"/>
      <c r="B672" s="425"/>
      <c r="C672" s="561"/>
      <c r="D672" s="561"/>
      <c r="E672" s="561"/>
      <c r="F672" s="69"/>
      <c r="G672" s="69"/>
      <c r="H672" s="178">
        <f t="shared" si="20"/>
        <v>0</v>
      </c>
      <c r="I672" s="178">
        <f t="shared" si="21"/>
        <v>0</v>
      </c>
      <c r="J672" s="109"/>
    </row>
    <row r="673" spans="1:10" hidden="1">
      <c r="A673" s="1554"/>
      <c r="B673" s="425"/>
      <c r="C673" s="561"/>
      <c r="D673" s="561"/>
      <c r="E673" s="561"/>
      <c r="F673" s="69"/>
      <c r="G673" s="69"/>
      <c r="H673" s="178">
        <f t="shared" si="20"/>
        <v>0</v>
      </c>
      <c r="I673" s="178">
        <f t="shared" si="21"/>
        <v>0</v>
      </c>
      <c r="J673" s="109"/>
    </row>
    <row r="674" spans="1:10" hidden="1">
      <c r="A674" s="1554"/>
      <c r="B674" s="432"/>
      <c r="C674" s="493"/>
      <c r="D674" s="561"/>
      <c r="E674" s="561"/>
      <c r="F674" s="69"/>
      <c r="G674" s="69"/>
      <c r="H674" s="178">
        <f t="shared" si="20"/>
        <v>0</v>
      </c>
      <c r="I674" s="178">
        <f t="shared" si="21"/>
        <v>0</v>
      </c>
      <c r="J674" s="109"/>
    </row>
    <row r="675" spans="1:10" hidden="1">
      <c r="A675" s="1554"/>
      <c r="B675" s="432"/>
      <c r="C675" s="493"/>
      <c r="D675" s="561"/>
      <c r="E675" s="561"/>
      <c r="F675" s="69"/>
      <c r="G675" s="69"/>
      <c r="H675" s="178">
        <f t="shared" si="20"/>
        <v>0</v>
      </c>
      <c r="I675" s="178">
        <f t="shared" si="21"/>
        <v>0</v>
      </c>
      <c r="J675" s="109"/>
    </row>
    <row r="676" spans="1:10" hidden="1">
      <c r="A676" s="1554"/>
      <c r="B676" s="425"/>
      <c r="C676" s="493"/>
      <c r="D676" s="493"/>
      <c r="E676" s="493"/>
      <c r="F676" s="69"/>
      <c r="G676" s="69"/>
      <c r="H676" s="178">
        <f t="shared" si="20"/>
        <v>0</v>
      </c>
      <c r="I676" s="178">
        <f t="shared" si="21"/>
        <v>0</v>
      </c>
      <c r="J676" s="109"/>
    </row>
    <row r="677" spans="1:10" hidden="1">
      <c r="A677" s="1554"/>
      <c r="B677" s="425"/>
      <c r="C677" s="493"/>
      <c r="D677" s="493"/>
      <c r="E677" s="493"/>
      <c r="F677" s="69"/>
      <c r="G677" s="69"/>
      <c r="H677" s="178">
        <f t="shared" si="20"/>
        <v>0</v>
      </c>
      <c r="I677" s="178">
        <f t="shared" si="21"/>
        <v>0</v>
      </c>
      <c r="J677" s="109"/>
    </row>
    <row r="678" spans="1:10" hidden="1">
      <c r="A678" s="1554"/>
      <c r="B678" s="425"/>
      <c r="C678" s="493"/>
      <c r="D678" s="493"/>
      <c r="E678" s="493"/>
      <c r="F678" s="69"/>
      <c r="G678" s="69"/>
      <c r="H678" s="178">
        <f t="shared" si="20"/>
        <v>0</v>
      </c>
      <c r="I678" s="178">
        <f t="shared" si="21"/>
        <v>0</v>
      </c>
      <c r="J678" s="109"/>
    </row>
    <row r="679" spans="1:10" hidden="1">
      <c r="A679" s="1554"/>
      <c r="B679" s="427"/>
      <c r="C679" s="575"/>
      <c r="D679" s="575"/>
      <c r="E679" s="576"/>
      <c r="F679" s="69"/>
      <c r="G679" s="69"/>
      <c r="H679" s="178">
        <f t="shared" si="20"/>
        <v>0</v>
      </c>
      <c r="I679" s="178">
        <f t="shared" si="21"/>
        <v>0</v>
      </c>
      <c r="J679" s="109"/>
    </row>
    <row r="680" spans="1:10" hidden="1">
      <c r="A680" s="1554"/>
      <c r="B680" s="427"/>
      <c r="C680" s="575"/>
      <c r="D680" s="575"/>
      <c r="E680" s="576"/>
      <c r="F680" s="69"/>
      <c r="G680" s="69"/>
      <c r="H680" s="178">
        <f t="shared" si="20"/>
        <v>0</v>
      </c>
      <c r="I680" s="178">
        <f t="shared" si="21"/>
        <v>0</v>
      </c>
      <c r="J680" s="109"/>
    </row>
    <row r="681" spans="1:10" hidden="1">
      <c r="A681" s="1554"/>
      <c r="B681" s="427"/>
      <c r="C681" s="575"/>
      <c r="D681" s="575"/>
      <c r="E681" s="576"/>
      <c r="F681" s="69"/>
      <c r="G681" s="69"/>
      <c r="H681" s="178">
        <f t="shared" si="20"/>
        <v>0</v>
      </c>
      <c r="I681" s="178">
        <f t="shared" si="21"/>
        <v>0</v>
      </c>
      <c r="J681" s="109"/>
    </row>
    <row r="682" spans="1:10" hidden="1">
      <c r="A682" s="1554"/>
      <c r="B682" s="427"/>
      <c r="C682" s="575"/>
      <c r="D682" s="575"/>
      <c r="E682" s="576"/>
      <c r="F682" s="69"/>
      <c r="G682" s="69"/>
      <c r="H682" s="178">
        <f t="shared" si="20"/>
        <v>0</v>
      </c>
      <c r="I682" s="178">
        <f t="shared" si="21"/>
        <v>0</v>
      </c>
      <c r="J682" s="109"/>
    </row>
    <row r="683" spans="1:10" hidden="1">
      <c r="A683" s="1554"/>
      <c r="B683" s="427"/>
      <c r="C683" s="575"/>
      <c r="D683" s="575"/>
      <c r="E683" s="576"/>
      <c r="F683" s="69"/>
      <c r="G683" s="69"/>
      <c r="H683" s="178">
        <f t="shared" si="20"/>
        <v>0</v>
      </c>
      <c r="I683" s="178">
        <f t="shared" si="21"/>
        <v>0</v>
      </c>
      <c r="J683" s="109"/>
    </row>
    <row r="684" spans="1:10" hidden="1">
      <c r="A684" s="1554"/>
      <c r="B684" s="427"/>
      <c r="C684" s="575"/>
      <c r="D684" s="575"/>
      <c r="E684" s="576"/>
      <c r="F684" s="69"/>
      <c r="G684" s="69"/>
      <c r="H684" s="178">
        <f t="shared" si="20"/>
        <v>0</v>
      </c>
      <c r="I684" s="178">
        <f t="shared" si="21"/>
        <v>0</v>
      </c>
      <c r="J684" s="109"/>
    </row>
    <row r="685" spans="1:10" hidden="1">
      <c r="A685" s="1554"/>
      <c r="B685" s="427"/>
      <c r="C685" s="575"/>
      <c r="D685" s="575"/>
      <c r="E685" s="576"/>
      <c r="F685" s="69"/>
      <c r="G685" s="69"/>
      <c r="H685" s="178">
        <f t="shared" si="20"/>
        <v>0</v>
      </c>
      <c r="I685" s="178">
        <f t="shared" si="21"/>
        <v>0</v>
      </c>
      <c r="J685" s="109"/>
    </row>
    <row r="686" spans="1:10" hidden="1">
      <c r="A686" s="1554"/>
      <c r="B686" s="427"/>
      <c r="C686" s="575"/>
      <c r="D686" s="575"/>
      <c r="E686" s="576"/>
      <c r="F686" s="69"/>
      <c r="G686" s="69"/>
      <c r="H686" s="178">
        <f t="shared" si="20"/>
        <v>0</v>
      </c>
      <c r="I686" s="178">
        <f t="shared" si="21"/>
        <v>0</v>
      </c>
      <c r="J686" s="109"/>
    </row>
    <row r="687" spans="1:10" hidden="1">
      <c r="A687" s="1554"/>
      <c r="B687" s="427"/>
      <c r="C687" s="575"/>
      <c r="D687" s="575"/>
      <c r="E687" s="576"/>
      <c r="F687" s="69"/>
      <c r="G687" s="69"/>
      <c r="H687" s="178">
        <f t="shared" si="20"/>
        <v>0</v>
      </c>
      <c r="I687" s="178">
        <f t="shared" si="21"/>
        <v>0</v>
      </c>
      <c r="J687" s="109"/>
    </row>
    <row r="688" spans="1:10" hidden="1">
      <c r="A688" s="1554"/>
      <c r="B688" s="427"/>
      <c r="C688" s="575"/>
      <c r="D688" s="575"/>
      <c r="E688" s="576"/>
      <c r="F688" s="69"/>
      <c r="G688" s="69"/>
      <c r="H688" s="178">
        <f t="shared" si="20"/>
        <v>0</v>
      </c>
      <c r="I688" s="178">
        <f t="shared" si="21"/>
        <v>0</v>
      </c>
      <c r="J688" s="109"/>
    </row>
    <row r="689" spans="1:11" hidden="1">
      <c r="A689" s="1554"/>
      <c r="B689" s="427"/>
      <c r="C689" s="575"/>
      <c r="D689" s="575"/>
      <c r="E689" s="576"/>
      <c r="F689" s="69"/>
      <c r="G689" s="69"/>
      <c r="H689" s="178">
        <f t="shared" si="20"/>
        <v>0</v>
      </c>
      <c r="I689" s="178">
        <f t="shared" si="21"/>
        <v>0</v>
      </c>
      <c r="J689" s="109"/>
    </row>
    <row r="690" spans="1:11" hidden="1">
      <c r="A690" s="1554"/>
      <c r="B690" s="427"/>
      <c r="C690" s="575"/>
      <c r="D690" s="575"/>
      <c r="E690" s="576"/>
      <c r="F690" s="69"/>
      <c r="G690" s="69"/>
      <c r="H690" s="178">
        <f t="shared" si="20"/>
        <v>0</v>
      </c>
      <c r="I690" s="178">
        <f t="shared" si="21"/>
        <v>0</v>
      </c>
      <c r="J690" s="109"/>
    </row>
    <row r="691" spans="1:11" hidden="1">
      <c r="A691" s="1554"/>
      <c r="B691" s="427"/>
      <c r="C691" s="578"/>
      <c r="D691" s="578"/>
      <c r="E691" s="579"/>
      <c r="F691" s="69"/>
      <c r="G691" s="69"/>
      <c r="H691" s="178">
        <f t="shared" si="20"/>
        <v>0</v>
      </c>
      <c r="I691" s="178">
        <f t="shared" si="21"/>
        <v>0</v>
      </c>
      <c r="J691" s="109"/>
    </row>
    <row r="692" spans="1:11" hidden="1">
      <c r="A692" s="1554"/>
      <c r="B692" s="427"/>
      <c r="C692" s="578"/>
      <c r="D692" s="578"/>
      <c r="E692" s="579"/>
      <c r="F692" s="69"/>
      <c r="G692" s="69"/>
      <c r="H692" s="178">
        <f t="shared" si="20"/>
        <v>0</v>
      </c>
      <c r="I692" s="178">
        <f t="shared" si="21"/>
        <v>0</v>
      </c>
      <c r="J692" s="109"/>
    </row>
    <row r="693" spans="1:11" hidden="1">
      <c r="A693" s="1554"/>
      <c r="B693" s="432"/>
      <c r="C693" s="577"/>
      <c r="D693" s="561"/>
      <c r="E693" s="561"/>
      <c r="F693" s="69"/>
      <c r="G693" s="69"/>
      <c r="H693" s="178">
        <f t="shared" si="20"/>
        <v>0</v>
      </c>
      <c r="I693" s="178">
        <f t="shared" si="21"/>
        <v>0</v>
      </c>
      <c r="J693" s="109"/>
    </row>
    <row r="694" spans="1:11" hidden="1">
      <c r="A694" s="1554"/>
      <c r="B694" s="432"/>
      <c r="C694" s="577"/>
      <c r="D694" s="561"/>
      <c r="E694" s="561"/>
      <c r="F694" s="69"/>
      <c r="G694" s="69"/>
      <c r="H694" s="178">
        <f t="shared" si="20"/>
        <v>0</v>
      </c>
      <c r="I694" s="178">
        <f t="shared" si="21"/>
        <v>0</v>
      </c>
      <c r="J694" s="109"/>
    </row>
    <row r="695" spans="1:11" hidden="1">
      <c r="A695" s="1554"/>
      <c r="B695" s="432"/>
      <c r="C695" s="577"/>
      <c r="D695" s="561"/>
      <c r="E695" s="561"/>
      <c r="F695" s="69"/>
      <c r="G695" s="69"/>
      <c r="H695" s="178">
        <f t="shared" si="20"/>
        <v>0</v>
      </c>
      <c r="I695" s="178">
        <f t="shared" si="21"/>
        <v>0</v>
      </c>
      <c r="J695" s="109"/>
    </row>
    <row r="696" spans="1:11" hidden="1">
      <c r="A696" s="1554"/>
      <c r="B696" s="432"/>
      <c r="C696" s="577"/>
      <c r="D696" s="561"/>
      <c r="E696" s="561"/>
      <c r="F696" s="69"/>
      <c r="G696" s="69"/>
      <c r="H696" s="178">
        <f t="shared" si="20"/>
        <v>0</v>
      </c>
      <c r="I696" s="178">
        <f t="shared" si="21"/>
        <v>0</v>
      </c>
      <c r="J696" s="109"/>
    </row>
    <row r="697" spans="1:11" hidden="1">
      <c r="A697" s="1554"/>
      <c r="B697" s="432"/>
      <c r="C697" s="577"/>
      <c r="D697" s="561"/>
      <c r="E697" s="561"/>
      <c r="F697" s="69"/>
      <c r="G697" s="69"/>
      <c r="H697" s="178">
        <f t="shared" si="20"/>
        <v>0</v>
      </c>
      <c r="I697" s="178">
        <f t="shared" si="21"/>
        <v>0</v>
      </c>
      <c r="J697" s="109"/>
    </row>
    <row r="698" spans="1:11" hidden="1">
      <c r="A698" s="1554"/>
      <c r="B698" s="432"/>
      <c r="C698" s="577"/>
      <c r="D698" s="561"/>
      <c r="E698" s="561"/>
      <c r="F698" s="69"/>
      <c r="G698" s="69"/>
      <c r="H698" s="178">
        <f t="shared" si="20"/>
        <v>0</v>
      </c>
      <c r="I698" s="178">
        <f t="shared" si="21"/>
        <v>0</v>
      </c>
      <c r="J698" s="109"/>
    </row>
    <row r="699" spans="1:11" hidden="1">
      <c r="A699" s="1554"/>
      <c r="B699" s="432"/>
      <c r="C699" s="577"/>
      <c r="D699" s="561"/>
      <c r="E699" s="561"/>
      <c r="F699" s="69"/>
      <c r="G699" s="69"/>
      <c r="H699" s="178">
        <f t="shared" si="20"/>
        <v>0</v>
      </c>
      <c r="I699" s="178">
        <f t="shared" si="21"/>
        <v>0</v>
      </c>
      <c r="J699" s="109"/>
    </row>
    <row r="700" spans="1:11" hidden="1">
      <c r="A700" s="1554"/>
      <c r="B700" s="432"/>
      <c r="C700" s="577"/>
      <c r="D700" s="561"/>
      <c r="E700" s="561"/>
      <c r="F700" s="69"/>
      <c r="G700" s="69"/>
      <c r="H700" s="178">
        <f t="shared" si="20"/>
        <v>0</v>
      </c>
      <c r="I700" s="178">
        <f t="shared" si="21"/>
        <v>0</v>
      </c>
      <c r="J700" s="109"/>
    </row>
    <row r="701" spans="1:11" hidden="1">
      <c r="A701" s="1554"/>
      <c r="B701" s="432"/>
      <c r="C701" s="577"/>
      <c r="D701" s="561"/>
      <c r="E701" s="561"/>
      <c r="F701" s="69"/>
      <c r="G701" s="69"/>
      <c r="H701" s="178">
        <f t="shared" si="20"/>
        <v>0</v>
      </c>
      <c r="I701" s="178">
        <f t="shared" si="21"/>
        <v>0</v>
      </c>
      <c r="J701" s="109"/>
    </row>
    <row r="702" spans="1:11" hidden="1">
      <c r="A702" s="1554"/>
      <c r="B702" s="432"/>
      <c r="C702" s="577"/>
      <c r="D702" s="561"/>
      <c r="E702" s="561"/>
      <c r="F702" s="69"/>
      <c r="G702" s="69"/>
      <c r="H702" s="178">
        <f t="shared" si="20"/>
        <v>0</v>
      </c>
      <c r="I702" s="178">
        <f t="shared" si="21"/>
        <v>0</v>
      </c>
      <c r="J702" s="109"/>
    </row>
    <row r="703" spans="1:11">
      <c r="A703" s="1555"/>
      <c r="B703" s="209" t="s">
        <v>985</v>
      </c>
      <c r="C703" s="588">
        <f>SUM(C660:C702)</f>
        <v>70000</v>
      </c>
      <c r="D703" s="588">
        <f>SUM(D660:D702)</f>
        <v>70000</v>
      </c>
      <c r="E703" s="588">
        <f>SUM(E660:E702)</f>
        <v>0</v>
      </c>
      <c r="F703" s="115">
        <f>SUM(F672:F673)</f>
        <v>0</v>
      </c>
      <c r="G703" s="115">
        <f>SUM(G672:G673)</f>
        <v>0</v>
      </c>
      <c r="H703" s="1436">
        <f t="shared" si="20"/>
        <v>0</v>
      </c>
      <c r="I703" s="1436">
        <f t="shared" si="21"/>
        <v>140000</v>
      </c>
      <c r="J703" s="1439"/>
      <c r="K703" s="1435"/>
    </row>
    <row r="704" spans="1:11" s="109" customFormat="1" hidden="1">
      <c r="A704" s="1558" t="s">
        <v>244</v>
      </c>
      <c r="B704" s="533"/>
      <c r="C704" s="587"/>
      <c r="D704" s="587"/>
      <c r="E704" s="587"/>
      <c r="F704" s="178"/>
      <c r="G704" s="178"/>
      <c r="H704" s="178">
        <f t="shared" si="20"/>
        <v>0</v>
      </c>
      <c r="I704" s="178">
        <f t="shared" si="21"/>
        <v>0</v>
      </c>
    </row>
    <row r="705" spans="1:10" s="109" customFormat="1" hidden="1">
      <c r="A705" s="1558"/>
      <c r="B705" s="617"/>
      <c r="C705" s="618"/>
      <c r="D705" s="618"/>
      <c r="E705" s="624"/>
      <c r="F705" s="180"/>
      <c r="G705" s="180"/>
      <c r="H705" s="178">
        <f t="shared" si="20"/>
        <v>0</v>
      </c>
      <c r="I705" s="178">
        <f t="shared" si="21"/>
        <v>0</v>
      </c>
      <c r="J705" s="621"/>
    </row>
    <row r="706" spans="1:10" hidden="1">
      <c r="A706" s="1558"/>
      <c r="B706" s="425"/>
      <c r="C706" s="561"/>
      <c r="D706" s="561"/>
      <c r="E706" s="493"/>
      <c r="F706" s="180"/>
      <c r="G706" s="180"/>
      <c r="H706" s="178">
        <f t="shared" si="20"/>
        <v>0</v>
      </c>
      <c r="I706" s="178">
        <f t="shared" si="21"/>
        <v>0</v>
      </c>
      <c r="J706" s="109"/>
    </row>
    <row r="707" spans="1:10" hidden="1">
      <c r="A707" s="1558"/>
      <c r="B707" s="425"/>
      <c r="C707" s="561"/>
      <c r="D707" s="561"/>
      <c r="E707" s="561"/>
      <c r="F707" s="69"/>
      <c r="G707" s="69"/>
      <c r="H707" s="178">
        <f t="shared" si="20"/>
        <v>0</v>
      </c>
      <c r="I707" s="178">
        <f t="shared" si="21"/>
        <v>0</v>
      </c>
      <c r="J707" s="109"/>
    </row>
    <row r="708" spans="1:10" hidden="1">
      <c r="A708" s="1558"/>
      <c r="B708" s="425"/>
      <c r="C708" s="561"/>
      <c r="D708" s="561"/>
      <c r="E708" s="561"/>
      <c r="F708" s="69"/>
      <c r="G708" s="69"/>
      <c r="H708" s="178">
        <f t="shared" si="20"/>
        <v>0</v>
      </c>
      <c r="I708" s="178">
        <f t="shared" si="21"/>
        <v>0</v>
      </c>
      <c r="J708" s="109"/>
    </row>
    <row r="709" spans="1:10" hidden="1">
      <c r="A709" s="1558"/>
      <c r="B709" s="425"/>
      <c r="C709" s="561"/>
      <c r="D709" s="561"/>
      <c r="E709" s="561"/>
      <c r="F709" s="69"/>
      <c r="G709" s="69"/>
      <c r="H709" s="178">
        <f t="shared" si="20"/>
        <v>0</v>
      </c>
      <c r="I709" s="178">
        <f t="shared" si="21"/>
        <v>0</v>
      </c>
      <c r="J709" s="109"/>
    </row>
    <row r="710" spans="1:10" hidden="1">
      <c r="A710" s="1558"/>
      <c r="B710" s="425"/>
      <c r="C710" s="561"/>
      <c r="D710" s="561"/>
      <c r="E710" s="561"/>
      <c r="F710" s="69"/>
      <c r="G710" s="69"/>
      <c r="H710" s="178">
        <f t="shared" si="20"/>
        <v>0</v>
      </c>
      <c r="I710" s="178">
        <f t="shared" si="21"/>
        <v>0</v>
      </c>
      <c r="J710" s="109"/>
    </row>
    <row r="711" spans="1:10" hidden="1">
      <c r="A711" s="1558"/>
      <c r="B711" s="425"/>
      <c r="C711" s="561"/>
      <c r="D711" s="561"/>
      <c r="E711" s="561"/>
      <c r="F711" s="69"/>
      <c r="G711" s="69"/>
      <c r="H711" s="178">
        <f t="shared" si="20"/>
        <v>0</v>
      </c>
      <c r="I711" s="178">
        <f t="shared" si="21"/>
        <v>0</v>
      </c>
      <c r="J711" s="109"/>
    </row>
    <row r="712" spans="1:10" hidden="1">
      <c r="A712" s="1558"/>
      <c r="B712" s="425"/>
      <c r="C712" s="561"/>
      <c r="D712" s="561"/>
      <c r="E712" s="561"/>
      <c r="F712" s="69"/>
      <c r="G712" s="69"/>
      <c r="H712" s="178">
        <f t="shared" si="20"/>
        <v>0</v>
      </c>
      <c r="I712" s="178">
        <f t="shared" si="21"/>
        <v>0</v>
      </c>
      <c r="J712" s="109"/>
    </row>
    <row r="713" spans="1:10" hidden="1">
      <c r="A713" s="1558"/>
      <c r="B713" s="425"/>
      <c r="C713" s="561"/>
      <c r="D713" s="561"/>
      <c r="E713" s="561"/>
      <c r="F713" s="69"/>
      <c r="G713" s="69"/>
      <c r="H713" s="178">
        <f t="shared" ref="H713:H776" si="22">E713+D713-C713</f>
        <v>0</v>
      </c>
      <c r="I713" s="178">
        <f t="shared" ref="I713:I776" si="23">SUM(C713:E713)</f>
        <v>0</v>
      </c>
      <c r="J713" s="109"/>
    </row>
    <row r="714" spans="1:10" hidden="1">
      <c r="A714" s="1558"/>
      <c r="B714" s="425"/>
      <c r="C714" s="561"/>
      <c r="D714" s="561"/>
      <c r="E714" s="561"/>
      <c r="F714" s="69"/>
      <c r="G714" s="69"/>
      <c r="H714" s="178">
        <f t="shared" si="22"/>
        <v>0</v>
      </c>
      <c r="I714" s="178">
        <f t="shared" si="23"/>
        <v>0</v>
      </c>
      <c r="J714" s="109"/>
    </row>
    <row r="715" spans="1:10" hidden="1">
      <c r="A715" s="1558"/>
      <c r="B715" s="425"/>
      <c r="C715" s="561"/>
      <c r="D715" s="561"/>
      <c r="E715" s="561"/>
      <c r="F715" s="69"/>
      <c r="G715" s="69"/>
      <c r="H715" s="178">
        <f t="shared" si="22"/>
        <v>0</v>
      </c>
      <c r="I715" s="178">
        <f t="shared" si="23"/>
        <v>0</v>
      </c>
      <c r="J715" s="109"/>
    </row>
    <row r="716" spans="1:10" hidden="1">
      <c r="A716" s="1558"/>
      <c r="B716" s="425"/>
      <c r="C716" s="561"/>
      <c r="D716" s="561"/>
      <c r="E716" s="561"/>
      <c r="F716" s="69"/>
      <c r="G716" s="69"/>
      <c r="H716" s="178">
        <f t="shared" si="22"/>
        <v>0</v>
      </c>
      <c r="I716" s="178">
        <f t="shared" si="23"/>
        <v>0</v>
      </c>
      <c r="J716" s="109"/>
    </row>
    <row r="717" spans="1:10" hidden="1">
      <c r="A717" s="1558"/>
      <c r="B717" s="425"/>
      <c r="C717" s="561"/>
      <c r="D717" s="561"/>
      <c r="E717" s="561"/>
      <c r="F717" s="69"/>
      <c r="G717" s="69"/>
      <c r="H717" s="178">
        <f t="shared" si="22"/>
        <v>0</v>
      </c>
      <c r="I717" s="178">
        <f t="shared" si="23"/>
        <v>0</v>
      </c>
      <c r="J717" s="109"/>
    </row>
    <row r="718" spans="1:10" hidden="1">
      <c r="A718" s="1558"/>
      <c r="B718" s="425"/>
      <c r="C718" s="561"/>
      <c r="D718" s="561"/>
      <c r="E718" s="561"/>
      <c r="F718" s="69"/>
      <c r="G718" s="69"/>
      <c r="H718" s="178">
        <f t="shared" si="22"/>
        <v>0</v>
      </c>
      <c r="I718" s="178">
        <f t="shared" si="23"/>
        <v>0</v>
      </c>
      <c r="J718" s="109"/>
    </row>
    <row r="719" spans="1:10" hidden="1">
      <c r="A719" s="1558"/>
      <c r="B719" s="432"/>
      <c r="C719" s="493"/>
      <c r="D719" s="561"/>
      <c r="E719" s="561"/>
      <c r="F719" s="69"/>
      <c r="G719" s="69"/>
      <c r="H719" s="178">
        <f t="shared" si="22"/>
        <v>0</v>
      </c>
      <c r="I719" s="178">
        <f t="shared" si="23"/>
        <v>0</v>
      </c>
      <c r="J719" s="109"/>
    </row>
    <row r="720" spans="1:10" hidden="1">
      <c r="A720" s="1558"/>
      <c r="B720" s="432"/>
      <c r="C720" s="493"/>
      <c r="D720" s="561"/>
      <c r="E720" s="561"/>
      <c r="F720" s="69"/>
      <c r="G720" s="69"/>
      <c r="H720" s="178">
        <f t="shared" si="22"/>
        <v>0</v>
      </c>
      <c r="I720" s="178">
        <f t="shared" si="23"/>
        <v>0</v>
      </c>
      <c r="J720" s="109"/>
    </row>
    <row r="721" spans="1:10" hidden="1">
      <c r="A721" s="1558"/>
      <c r="B721" s="425"/>
      <c r="C721" s="493"/>
      <c r="D721" s="493"/>
      <c r="E721" s="493"/>
      <c r="F721" s="69"/>
      <c r="G721" s="69"/>
      <c r="H721" s="178">
        <f t="shared" si="22"/>
        <v>0</v>
      </c>
      <c r="I721" s="178">
        <f t="shared" si="23"/>
        <v>0</v>
      </c>
      <c r="J721" s="109"/>
    </row>
    <row r="722" spans="1:10" hidden="1">
      <c r="A722" s="1558"/>
      <c r="B722" s="425"/>
      <c r="C722" s="493"/>
      <c r="D722" s="493"/>
      <c r="E722" s="493"/>
      <c r="F722" s="69"/>
      <c r="G722" s="69"/>
      <c r="H722" s="178">
        <f t="shared" si="22"/>
        <v>0</v>
      </c>
      <c r="I722" s="178">
        <f t="shared" si="23"/>
        <v>0</v>
      </c>
      <c r="J722" s="109"/>
    </row>
    <row r="723" spans="1:10" hidden="1">
      <c r="A723" s="1558"/>
      <c r="B723" s="425"/>
      <c r="C723" s="493"/>
      <c r="D723" s="493"/>
      <c r="E723" s="493"/>
      <c r="F723" s="69"/>
      <c r="G723" s="69"/>
      <c r="H723" s="178">
        <f t="shared" si="22"/>
        <v>0</v>
      </c>
      <c r="I723" s="178">
        <f t="shared" si="23"/>
        <v>0</v>
      </c>
      <c r="J723" s="109"/>
    </row>
    <row r="724" spans="1:10" hidden="1">
      <c r="A724" s="1558"/>
      <c r="B724" s="427"/>
      <c r="C724" s="575"/>
      <c r="D724" s="575"/>
      <c r="E724" s="576"/>
      <c r="F724" s="69"/>
      <c r="G724" s="69"/>
      <c r="H724" s="178">
        <f t="shared" si="22"/>
        <v>0</v>
      </c>
      <c r="I724" s="178">
        <f t="shared" si="23"/>
        <v>0</v>
      </c>
      <c r="J724" s="109"/>
    </row>
    <row r="725" spans="1:10" hidden="1">
      <c r="A725" s="1558"/>
      <c r="B725" s="427"/>
      <c r="C725" s="575"/>
      <c r="D725" s="575"/>
      <c r="E725" s="576"/>
      <c r="F725" s="69"/>
      <c r="G725" s="69"/>
      <c r="H725" s="178">
        <f t="shared" si="22"/>
        <v>0</v>
      </c>
      <c r="I725" s="178">
        <f t="shared" si="23"/>
        <v>0</v>
      </c>
      <c r="J725" s="109"/>
    </row>
    <row r="726" spans="1:10" hidden="1">
      <c r="A726" s="1558"/>
      <c r="B726" s="427"/>
      <c r="C726" s="575"/>
      <c r="D726" s="575"/>
      <c r="E726" s="576"/>
      <c r="F726" s="69"/>
      <c r="G726" s="69"/>
      <c r="H726" s="178">
        <f t="shared" si="22"/>
        <v>0</v>
      </c>
      <c r="I726" s="178">
        <f t="shared" si="23"/>
        <v>0</v>
      </c>
      <c r="J726" s="109"/>
    </row>
    <row r="727" spans="1:10" hidden="1">
      <c r="A727" s="1558"/>
      <c r="B727" s="427"/>
      <c r="C727" s="575"/>
      <c r="D727" s="575"/>
      <c r="E727" s="576"/>
      <c r="F727" s="69"/>
      <c r="G727" s="69"/>
      <c r="H727" s="178">
        <f t="shared" si="22"/>
        <v>0</v>
      </c>
      <c r="I727" s="178">
        <f t="shared" si="23"/>
        <v>0</v>
      </c>
      <c r="J727" s="109"/>
    </row>
    <row r="728" spans="1:10" hidden="1">
      <c r="A728" s="1558"/>
      <c r="B728" s="427"/>
      <c r="C728" s="575"/>
      <c r="D728" s="575"/>
      <c r="E728" s="576"/>
      <c r="F728" s="69"/>
      <c r="G728" s="69"/>
      <c r="H728" s="178">
        <f t="shared" si="22"/>
        <v>0</v>
      </c>
      <c r="I728" s="178">
        <f t="shared" si="23"/>
        <v>0</v>
      </c>
      <c r="J728" s="109"/>
    </row>
    <row r="729" spans="1:10" hidden="1">
      <c r="A729" s="1558"/>
      <c r="B729" s="427"/>
      <c r="C729" s="575"/>
      <c r="D729" s="575"/>
      <c r="E729" s="576"/>
      <c r="F729" s="69"/>
      <c r="G729" s="69"/>
      <c r="H729" s="178">
        <f t="shared" si="22"/>
        <v>0</v>
      </c>
      <c r="I729" s="178">
        <f t="shared" si="23"/>
        <v>0</v>
      </c>
      <c r="J729" s="109"/>
    </row>
    <row r="730" spans="1:10" hidden="1">
      <c r="A730" s="1558"/>
      <c r="B730" s="427"/>
      <c r="C730" s="575"/>
      <c r="D730" s="575"/>
      <c r="E730" s="576"/>
      <c r="F730" s="69"/>
      <c r="G730" s="69"/>
      <c r="H730" s="178">
        <f t="shared" si="22"/>
        <v>0</v>
      </c>
      <c r="I730" s="178">
        <f t="shared" si="23"/>
        <v>0</v>
      </c>
      <c r="J730" s="109"/>
    </row>
    <row r="731" spans="1:10" hidden="1">
      <c r="A731" s="1558"/>
      <c r="B731" s="427"/>
      <c r="C731" s="575"/>
      <c r="D731" s="575"/>
      <c r="E731" s="576"/>
      <c r="F731" s="69"/>
      <c r="G731" s="69"/>
      <c r="H731" s="178">
        <f t="shared" si="22"/>
        <v>0</v>
      </c>
      <c r="I731" s="178">
        <f t="shared" si="23"/>
        <v>0</v>
      </c>
      <c r="J731" s="109"/>
    </row>
    <row r="732" spans="1:10" hidden="1">
      <c r="A732" s="1558"/>
      <c r="B732" s="427"/>
      <c r="C732" s="575"/>
      <c r="D732" s="575"/>
      <c r="E732" s="576"/>
      <c r="F732" s="69"/>
      <c r="G732" s="69"/>
      <c r="H732" s="178">
        <f t="shared" si="22"/>
        <v>0</v>
      </c>
      <c r="I732" s="178">
        <f t="shared" si="23"/>
        <v>0</v>
      </c>
      <c r="J732" s="109"/>
    </row>
    <row r="733" spans="1:10" hidden="1">
      <c r="A733" s="1558"/>
      <c r="B733" s="427"/>
      <c r="C733" s="575"/>
      <c r="D733" s="575"/>
      <c r="E733" s="576"/>
      <c r="F733" s="69"/>
      <c r="G733" s="69"/>
      <c r="H733" s="178">
        <f t="shared" si="22"/>
        <v>0</v>
      </c>
      <c r="I733" s="178">
        <f t="shared" si="23"/>
        <v>0</v>
      </c>
      <c r="J733" s="109"/>
    </row>
    <row r="734" spans="1:10" hidden="1">
      <c r="A734" s="1558"/>
      <c r="B734" s="427"/>
      <c r="C734" s="575"/>
      <c r="D734" s="575"/>
      <c r="E734" s="576"/>
      <c r="F734" s="69"/>
      <c r="G734" s="69"/>
      <c r="H734" s="178">
        <f t="shared" si="22"/>
        <v>0</v>
      </c>
      <c r="I734" s="178">
        <f t="shared" si="23"/>
        <v>0</v>
      </c>
      <c r="J734" s="109"/>
    </row>
    <row r="735" spans="1:10" hidden="1">
      <c r="A735" s="1558"/>
      <c r="B735" s="427"/>
      <c r="C735" s="575"/>
      <c r="D735" s="575"/>
      <c r="E735" s="576"/>
      <c r="F735" s="69"/>
      <c r="G735" s="69"/>
      <c r="H735" s="178">
        <f t="shared" si="22"/>
        <v>0</v>
      </c>
      <c r="I735" s="178">
        <f t="shared" si="23"/>
        <v>0</v>
      </c>
      <c r="J735" s="109"/>
    </row>
    <row r="736" spans="1:10" hidden="1">
      <c r="A736" s="1558"/>
      <c r="B736" s="427"/>
      <c r="C736" s="578"/>
      <c r="D736" s="578"/>
      <c r="E736" s="579"/>
      <c r="F736" s="69"/>
      <c r="G736" s="69"/>
      <c r="H736" s="178">
        <f t="shared" si="22"/>
        <v>0</v>
      </c>
      <c r="I736" s="178">
        <f t="shared" si="23"/>
        <v>0</v>
      </c>
      <c r="J736" s="109"/>
    </row>
    <row r="737" spans="1:10" hidden="1">
      <c r="A737" s="1558"/>
      <c r="B737" s="427"/>
      <c r="C737" s="578"/>
      <c r="D737" s="578"/>
      <c r="E737" s="579"/>
      <c r="F737" s="69"/>
      <c r="G737" s="69"/>
      <c r="H737" s="178">
        <f t="shared" si="22"/>
        <v>0</v>
      </c>
      <c r="I737" s="178">
        <f t="shared" si="23"/>
        <v>0</v>
      </c>
      <c r="J737" s="109"/>
    </row>
    <row r="738" spans="1:10" hidden="1">
      <c r="A738" s="1558"/>
      <c r="B738" s="432"/>
      <c r="C738" s="577"/>
      <c r="D738" s="561"/>
      <c r="E738" s="561"/>
      <c r="F738" s="69"/>
      <c r="G738" s="69"/>
      <c r="H738" s="178">
        <f t="shared" si="22"/>
        <v>0</v>
      </c>
      <c r="I738" s="178">
        <f t="shared" si="23"/>
        <v>0</v>
      </c>
      <c r="J738" s="109"/>
    </row>
    <row r="739" spans="1:10" hidden="1">
      <c r="A739" s="1558"/>
      <c r="B739" s="432"/>
      <c r="C739" s="577"/>
      <c r="D739" s="561"/>
      <c r="E739" s="561"/>
      <c r="F739" s="69"/>
      <c r="G739" s="69"/>
      <c r="H739" s="178">
        <f t="shared" si="22"/>
        <v>0</v>
      </c>
      <c r="I739" s="178">
        <f t="shared" si="23"/>
        <v>0</v>
      </c>
      <c r="J739" s="109"/>
    </row>
    <row r="740" spans="1:10" hidden="1">
      <c r="A740" s="1558"/>
      <c r="B740" s="432"/>
      <c r="C740" s="577"/>
      <c r="D740" s="561"/>
      <c r="E740" s="561"/>
      <c r="F740" s="69"/>
      <c r="G740" s="69"/>
      <c r="H740" s="178">
        <f t="shared" si="22"/>
        <v>0</v>
      </c>
      <c r="I740" s="178">
        <f t="shared" si="23"/>
        <v>0</v>
      </c>
      <c r="J740" s="109"/>
    </row>
    <row r="741" spans="1:10" hidden="1">
      <c r="A741" s="1558"/>
      <c r="B741" s="432"/>
      <c r="C741" s="577"/>
      <c r="D741" s="561"/>
      <c r="E741" s="561"/>
      <c r="F741" s="69"/>
      <c r="G741" s="69"/>
      <c r="H741" s="178">
        <f t="shared" si="22"/>
        <v>0</v>
      </c>
      <c r="I741" s="178">
        <f t="shared" si="23"/>
        <v>0</v>
      </c>
      <c r="J741" s="109"/>
    </row>
    <row r="742" spans="1:10" hidden="1">
      <c r="A742" s="1558"/>
      <c r="B742" s="432"/>
      <c r="C742" s="577"/>
      <c r="D742" s="561"/>
      <c r="E742" s="561"/>
      <c r="F742" s="69"/>
      <c r="G742" s="69"/>
      <c r="H742" s="178">
        <f t="shared" si="22"/>
        <v>0</v>
      </c>
      <c r="I742" s="178">
        <f t="shared" si="23"/>
        <v>0</v>
      </c>
      <c r="J742" s="109"/>
    </row>
    <row r="743" spans="1:10" hidden="1">
      <c r="A743" s="1558"/>
      <c r="B743" s="432"/>
      <c r="C743" s="577"/>
      <c r="D743" s="561"/>
      <c r="E743" s="561"/>
      <c r="F743" s="69"/>
      <c r="G743" s="69"/>
      <c r="H743" s="178">
        <f t="shared" si="22"/>
        <v>0</v>
      </c>
      <c r="I743" s="178">
        <f t="shared" si="23"/>
        <v>0</v>
      </c>
      <c r="J743" s="109"/>
    </row>
    <row r="744" spans="1:10" hidden="1">
      <c r="A744" s="1558"/>
      <c r="B744" s="432"/>
      <c r="C744" s="577"/>
      <c r="D744" s="561"/>
      <c r="E744" s="561"/>
      <c r="F744" s="69"/>
      <c r="G744" s="69"/>
      <c r="H744" s="178">
        <f t="shared" si="22"/>
        <v>0</v>
      </c>
      <c r="I744" s="178">
        <f t="shared" si="23"/>
        <v>0</v>
      </c>
      <c r="J744" s="109"/>
    </row>
    <row r="745" spans="1:10" hidden="1">
      <c r="A745" s="1558"/>
      <c r="B745" s="432"/>
      <c r="C745" s="577"/>
      <c r="D745" s="561"/>
      <c r="E745" s="561"/>
      <c r="F745" s="69"/>
      <c r="G745" s="69"/>
      <c r="H745" s="178">
        <f t="shared" si="22"/>
        <v>0</v>
      </c>
      <c r="I745" s="178">
        <f t="shared" si="23"/>
        <v>0</v>
      </c>
      <c r="J745" s="109"/>
    </row>
    <row r="746" spans="1:10" hidden="1">
      <c r="A746" s="1558"/>
      <c r="B746" s="432"/>
      <c r="C746" s="577"/>
      <c r="D746" s="561"/>
      <c r="E746" s="561"/>
      <c r="F746" s="69"/>
      <c r="G746" s="69"/>
      <c r="H746" s="178">
        <f t="shared" si="22"/>
        <v>0</v>
      </c>
      <c r="I746" s="178">
        <f t="shared" si="23"/>
        <v>0</v>
      </c>
      <c r="J746" s="109"/>
    </row>
    <row r="747" spans="1:10" hidden="1">
      <c r="A747" s="1558"/>
      <c r="B747" s="432"/>
      <c r="C747" s="577"/>
      <c r="D747" s="561"/>
      <c r="E747" s="561"/>
      <c r="F747" s="69"/>
      <c r="G747" s="69"/>
      <c r="H747" s="178">
        <f t="shared" si="22"/>
        <v>0</v>
      </c>
      <c r="I747" s="178">
        <f t="shared" si="23"/>
        <v>0</v>
      </c>
      <c r="J747" s="109"/>
    </row>
    <row r="748" spans="1:10" hidden="1">
      <c r="A748" s="1558"/>
      <c r="B748" s="209" t="s">
        <v>985</v>
      </c>
      <c r="C748" s="588">
        <f>SUM(C704:C747)</f>
        <v>0</v>
      </c>
      <c r="D748" s="588">
        <f>SUM(D704:D747)</f>
        <v>0</v>
      </c>
      <c r="E748" s="588">
        <f>SUM(E704:E747)</f>
        <v>0</v>
      </c>
      <c r="F748" s="115">
        <f>SUM(F704:F719)</f>
        <v>0</v>
      </c>
      <c r="G748" s="115">
        <f>SUM(G704:G719)</f>
        <v>0</v>
      </c>
      <c r="H748" s="178">
        <f t="shared" si="22"/>
        <v>0</v>
      </c>
      <c r="I748" s="178">
        <f t="shared" si="23"/>
        <v>0</v>
      </c>
      <c r="J748" s="109"/>
    </row>
    <row r="749" spans="1:10" hidden="1">
      <c r="A749" s="1553" t="s">
        <v>245</v>
      </c>
      <c r="B749" s="369"/>
      <c r="C749" s="585"/>
      <c r="D749" s="585"/>
      <c r="E749" s="585"/>
      <c r="F749" s="245"/>
      <c r="G749" s="245"/>
      <c r="H749" s="178">
        <f t="shared" si="22"/>
        <v>0</v>
      </c>
      <c r="I749" s="178">
        <f t="shared" si="23"/>
        <v>0</v>
      </c>
      <c r="J749" s="109"/>
    </row>
    <row r="750" spans="1:10" hidden="1">
      <c r="A750" s="1554"/>
      <c r="B750" s="369"/>
      <c r="C750" s="585"/>
      <c r="D750" s="585"/>
      <c r="E750" s="585"/>
      <c r="F750" s="245"/>
      <c r="G750" s="245"/>
      <c r="H750" s="178">
        <f t="shared" si="22"/>
        <v>0</v>
      </c>
      <c r="I750" s="178">
        <f t="shared" si="23"/>
        <v>0</v>
      </c>
      <c r="J750" s="109"/>
    </row>
    <row r="751" spans="1:10" hidden="1">
      <c r="A751" s="1554"/>
      <c r="B751" s="424"/>
      <c r="C751" s="493"/>
      <c r="D751" s="493"/>
      <c r="E751" s="493"/>
      <c r="F751" s="245"/>
      <c r="G751" s="245"/>
      <c r="H751" s="178">
        <f t="shared" si="22"/>
        <v>0</v>
      </c>
      <c r="I751" s="178">
        <f t="shared" si="23"/>
        <v>0</v>
      </c>
      <c r="J751" s="109"/>
    </row>
    <row r="752" spans="1:10" hidden="1">
      <c r="A752" s="1554"/>
      <c r="B752" s="424"/>
      <c r="C752" s="493"/>
      <c r="D752" s="493"/>
      <c r="E752" s="493"/>
      <c r="F752" s="245"/>
      <c r="G752" s="245"/>
      <c r="H752" s="178">
        <f t="shared" si="22"/>
        <v>0</v>
      </c>
      <c r="I752" s="178">
        <f t="shared" si="23"/>
        <v>0</v>
      </c>
      <c r="J752" s="109"/>
    </row>
    <row r="753" spans="1:10" hidden="1">
      <c r="A753" s="1554"/>
      <c r="B753" s="424"/>
      <c r="C753" s="493"/>
      <c r="D753" s="493"/>
      <c r="E753" s="493"/>
      <c r="F753" s="245"/>
      <c r="G753" s="245"/>
      <c r="H753" s="178">
        <f t="shared" si="22"/>
        <v>0</v>
      </c>
      <c r="I753" s="178">
        <f t="shared" si="23"/>
        <v>0</v>
      </c>
      <c r="J753" s="109"/>
    </row>
    <row r="754" spans="1:10" hidden="1">
      <c r="A754" s="1554"/>
      <c r="B754" s="424"/>
      <c r="C754" s="493"/>
      <c r="D754" s="493"/>
      <c r="E754" s="493"/>
      <c r="F754" s="245"/>
      <c r="G754" s="245"/>
      <c r="H754" s="178">
        <f t="shared" si="22"/>
        <v>0</v>
      </c>
      <c r="I754" s="178">
        <f t="shared" si="23"/>
        <v>0</v>
      </c>
      <c r="J754" s="109"/>
    </row>
    <row r="755" spans="1:10" hidden="1">
      <c r="A755" s="1554"/>
      <c r="B755" s="424"/>
      <c r="C755" s="493"/>
      <c r="D755" s="493"/>
      <c r="E755" s="493"/>
      <c r="F755" s="245"/>
      <c r="G755" s="245"/>
      <c r="H755" s="178">
        <f t="shared" si="22"/>
        <v>0</v>
      </c>
      <c r="I755" s="178">
        <f t="shared" si="23"/>
        <v>0</v>
      </c>
      <c r="J755" s="109"/>
    </row>
    <row r="756" spans="1:10" hidden="1">
      <c r="A756" s="1554"/>
      <c r="B756" s="424"/>
      <c r="C756" s="493"/>
      <c r="D756" s="493"/>
      <c r="E756" s="493"/>
      <c r="F756" s="245"/>
      <c r="G756" s="245"/>
      <c r="H756" s="178">
        <f t="shared" si="22"/>
        <v>0</v>
      </c>
      <c r="I756" s="178">
        <f t="shared" si="23"/>
        <v>0</v>
      </c>
      <c r="J756" s="109"/>
    </row>
    <row r="757" spans="1:10" hidden="1">
      <c r="A757" s="1554"/>
      <c r="B757" s="424"/>
      <c r="C757" s="493"/>
      <c r="D757" s="493"/>
      <c r="E757" s="493"/>
      <c r="F757" s="245"/>
      <c r="G757" s="245"/>
      <c r="H757" s="178">
        <f t="shared" si="22"/>
        <v>0</v>
      </c>
      <c r="I757" s="178">
        <f t="shared" si="23"/>
        <v>0</v>
      </c>
      <c r="J757" s="109"/>
    </row>
    <row r="758" spans="1:10" hidden="1">
      <c r="A758" s="1554"/>
      <c r="B758" s="424"/>
      <c r="C758" s="493"/>
      <c r="D758" s="493"/>
      <c r="E758" s="493"/>
      <c r="F758" s="245"/>
      <c r="G758" s="245"/>
      <c r="H758" s="178">
        <f t="shared" si="22"/>
        <v>0</v>
      </c>
      <c r="I758" s="178">
        <f t="shared" si="23"/>
        <v>0</v>
      </c>
      <c r="J758" s="109"/>
    </row>
    <row r="759" spans="1:10" hidden="1">
      <c r="A759" s="1554"/>
      <c r="B759" s="424"/>
      <c r="C759" s="493"/>
      <c r="D759" s="493"/>
      <c r="E759" s="493"/>
      <c r="F759" s="245"/>
      <c r="G759" s="245"/>
      <c r="H759" s="178">
        <f t="shared" si="22"/>
        <v>0</v>
      </c>
      <c r="I759" s="178">
        <f t="shared" si="23"/>
        <v>0</v>
      </c>
      <c r="J759" s="109"/>
    </row>
    <row r="760" spans="1:10" hidden="1">
      <c r="A760" s="1554"/>
      <c r="B760" s="424"/>
      <c r="C760" s="493"/>
      <c r="D760" s="493"/>
      <c r="E760" s="493"/>
      <c r="F760" s="245"/>
      <c r="G760" s="245"/>
      <c r="H760" s="178">
        <f t="shared" si="22"/>
        <v>0</v>
      </c>
      <c r="I760" s="178">
        <f t="shared" si="23"/>
        <v>0</v>
      </c>
      <c r="J760" s="109"/>
    </row>
    <row r="761" spans="1:10" hidden="1">
      <c r="A761" s="1554"/>
      <c r="B761" s="424"/>
      <c r="C761" s="493"/>
      <c r="D761" s="493"/>
      <c r="E761" s="493"/>
      <c r="F761" s="245"/>
      <c r="G761" s="245"/>
      <c r="H761" s="178">
        <f t="shared" si="22"/>
        <v>0</v>
      </c>
      <c r="I761" s="178">
        <f t="shared" si="23"/>
        <v>0</v>
      </c>
      <c r="J761" s="109"/>
    </row>
    <row r="762" spans="1:10" hidden="1">
      <c r="A762" s="1554"/>
      <c r="B762" s="424"/>
      <c r="C762" s="493"/>
      <c r="D762" s="493"/>
      <c r="E762" s="493"/>
      <c r="F762" s="245"/>
      <c r="G762" s="245"/>
      <c r="H762" s="178">
        <f t="shared" si="22"/>
        <v>0</v>
      </c>
      <c r="I762" s="178">
        <f t="shared" si="23"/>
        <v>0</v>
      </c>
      <c r="J762" s="109"/>
    </row>
    <row r="763" spans="1:10" hidden="1">
      <c r="A763" s="1554"/>
      <c r="B763" s="424"/>
      <c r="C763" s="493"/>
      <c r="D763" s="493"/>
      <c r="E763" s="493"/>
      <c r="F763" s="245"/>
      <c r="G763" s="245"/>
      <c r="H763" s="178">
        <f t="shared" si="22"/>
        <v>0</v>
      </c>
      <c r="I763" s="178">
        <f t="shared" si="23"/>
        <v>0</v>
      </c>
      <c r="J763" s="109"/>
    </row>
    <row r="764" spans="1:10" hidden="1">
      <c r="A764" s="1554"/>
      <c r="B764" s="424"/>
      <c r="C764" s="493"/>
      <c r="D764" s="493"/>
      <c r="E764" s="493"/>
      <c r="F764" s="245"/>
      <c r="G764" s="245"/>
      <c r="H764" s="178">
        <f t="shared" si="22"/>
        <v>0</v>
      </c>
      <c r="I764" s="178">
        <f t="shared" si="23"/>
        <v>0</v>
      </c>
      <c r="J764" s="109"/>
    </row>
    <row r="765" spans="1:10" hidden="1">
      <c r="A765" s="1554"/>
      <c r="B765" s="424"/>
      <c r="C765" s="493"/>
      <c r="D765" s="493"/>
      <c r="E765" s="493"/>
      <c r="F765" s="245"/>
      <c r="G765" s="245"/>
      <c r="H765" s="178">
        <f t="shared" si="22"/>
        <v>0</v>
      </c>
      <c r="I765" s="178">
        <f t="shared" si="23"/>
        <v>0</v>
      </c>
      <c r="J765" s="109"/>
    </row>
    <row r="766" spans="1:10" hidden="1">
      <c r="A766" s="1554"/>
      <c r="B766" s="424"/>
      <c r="C766" s="493"/>
      <c r="D766" s="493"/>
      <c r="E766" s="493"/>
      <c r="F766" s="245"/>
      <c r="G766" s="245"/>
      <c r="H766" s="178">
        <f t="shared" si="22"/>
        <v>0</v>
      </c>
      <c r="I766" s="178">
        <f t="shared" si="23"/>
        <v>0</v>
      </c>
      <c r="J766" s="109"/>
    </row>
    <row r="767" spans="1:10" hidden="1">
      <c r="A767" s="1554"/>
      <c r="B767" s="424"/>
      <c r="C767" s="493"/>
      <c r="D767" s="493"/>
      <c r="E767" s="493"/>
      <c r="F767" s="245"/>
      <c r="G767" s="245"/>
      <c r="H767" s="178">
        <f t="shared" si="22"/>
        <v>0</v>
      </c>
      <c r="I767" s="178">
        <f t="shared" si="23"/>
        <v>0</v>
      </c>
      <c r="J767" s="109"/>
    </row>
    <row r="768" spans="1:10" hidden="1">
      <c r="A768" s="1554"/>
      <c r="B768" s="424"/>
      <c r="C768" s="493"/>
      <c r="D768" s="493"/>
      <c r="E768" s="493"/>
      <c r="F768" s="245"/>
      <c r="G768" s="245"/>
      <c r="H768" s="178">
        <f t="shared" si="22"/>
        <v>0</v>
      </c>
      <c r="I768" s="178">
        <f t="shared" si="23"/>
        <v>0</v>
      </c>
      <c r="J768" s="109"/>
    </row>
    <row r="769" spans="1:10" hidden="1">
      <c r="A769" s="1554"/>
      <c r="B769" s="424"/>
      <c r="C769" s="493"/>
      <c r="D769" s="493"/>
      <c r="E769" s="493"/>
      <c r="F769" s="245"/>
      <c r="G769" s="245"/>
      <c r="H769" s="178">
        <f t="shared" si="22"/>
        <v>0</v>
      </c>
      <c r="I769" s="178">
        <f t="shared" si="23"/>
        <v>0</v>
      </c>
      <c r="J769" s="109"/>
    </row>
    <row r="770" spans="1:10" hidden="1">
      <c r="A770" s="1554"/>
      <c r="B770" s="424"/>
      <c r="C770" s="493"/>
      <c r="D770" s="493"/>
      <c r="E770" s="493"/>
      <c r="F770" s="245"/>
      <c r="G770" s="245"/>
      <c r="H770" s="178">
        <f t="shared" si="22"/>
        <v>0</v>
      </c>
      <c r="I770" s="178">
        <f t="shared" si="23"/>
        <v>0</v>
      </c>
      <c r="J770" s="109"/>
    </row>
    <row r="771" spans="1:10" hidden="1">
      <c r="A771" s="1554"/>
      <c r="B771" s="424"/>
      <c r="C771" s="493"/>
      <c r="D771" s="493"/>
      <c r="E771" s="493"/>
      <c r="F771" s="245"/>
      <c r="G771" s="245"/>
      <c r="H771" s="178">
        <f t="shared" si="22"/>
        <v>0</v>
      </c>
      <c r="I771" s="178">
        <f t="shared" si="23"/>
        <v>0</v>
      </c>
      <c r="J771" s="109"/>
    </row>
    <row r="772" spans="1:10" hidden="1">
      <c r="A772" s="1554"/>
      <c r="B772" s="424"/>
      <c r="C772" s="493"/>
      <c r="D772" s="493"/>
      <c r="E772" s="493"/>
      <c r="F772" s="245"/>
      <c r="G772" s="245"/>
      <c r="H772" s="178">
        <f t="shared" si="22"/>
        <v>0</v>
      </c>
      <c r="I772" s="178">
        <f t="shared" si="23"/>
        <v>0</v>
      </c>
      <c r="J772" s="109"/>
    </row>
    <row r="773" spans="1:10" hidden="1">
      <c r="A773" s="1554"/>
      <c r="B773" s="424"/>
      <c r="C773" s="493"/>
      <c r="D773" s="493"/>
      <c r="E773" s="493"/>
      <c r="F773" s="245"/>
      <c r="G773" s="245"/>
      <c r="H773" s="178">
        <f t="shared" si="22"/>
        <v>0</v>
      </c>
      <c r="I773" s="178">
        <f t="shared" si="23"/>
        <v>0</v>
      </c>
      <c r="J773" s="109"/>
    </row>
    <row r="774" spans="1:10" hidden="1">
      <c r="A774" s="1554"/>
      <c r="B774" s="424"/>
      <c r="C774" s="493"/>
      <c r="D774" s="493"/>
      <c r="E774" s="493"/>
      <c r="F774" s="245"/>
      <c r="G774" s="245"/>
      <c r="H774" s="178">
        <f t="shared" si="22"/>
        <v>0</v>
      </c>
      <c r="I774" s="178">
        <f t="shared" si="23"/>
        <v>0</v>
      </c>
      <c r="J774" s="109"/>
    </row>
    <row r="775" spans="1:10" hidden="1">
      <c r="A775" s="1554"/>
      <c r="B775" s="424"/>
      <c r="C775" s="493"/>
      <c r="D775" s="493"/>
      <c r="E775" s="493"/>
      <c r="F775" s="245"/>
      <c r="G775" s="245"/>
      <c r="H775" s="178">
        <f t="shared" si="22"/>
        <v>0</v>
      </c>
      <c r="I775" s="178">
        <f t="shared" si="23"/>
        <v>0</v>
      </c>
      <c r="J775" s="109"/>
    </row>
    <row r="776" spans="1:10" hidden="1">
      <c r="A776" s="1554"/>
      <c r="B776" s="424"/>
      <c r="C776" s="493"/>
      <c r="D776" s="493"/>
      <c r="E776" s="493"/>
      <c r="F776" s="245"/>
      <c r="G776" s="245"/>
      <c r="H776" s="178">
        <f t="shared" si="22"/>
        <v>0</v>
      </c>
      <c r="I776" s="178">
        <f t="shared" si="23"/>
        <v>0</v>
      </c>
      <c r="J776" s="109"/>
    </row>
    <row r="777" spans="1:10" hidden="1">
      <c r="A777" s="1554"/>
      <c r="B777" s="424"/>
      <c r="C777" s="493"/>
      <c r="D777" s="493"/>
      <c r="E777" s="493"/>
      <c r="F777" s="245"/>
      <c r="G777" s="245"/>
      <c r="H777" s="178">
        <f t="shared" ref="H777:H840" si="24">E777+D777-C777</f>
        <v>0</v>
      </c>
      <c r="I777" s="178">
        <f t="shared" ref="I777:I840" si="25">SUM(C777:E777)</f>
        <v>0</v>
      </c>
      <c r="J777" s="109"/>
    </row>
    <row r="778" spans="1:10" hidden="1">
      <c r="A778" s="1554"/>
      <c r="B778" s="424"/>
      <c r="C778" s="493"/>
      <c r="D778" s="493"/>
      <c r="E778" s="493"/>
      <c r="F778" s="245"/>
      <c r="G778" s="245"/>
      <c r="H778" s="178">
        <f t="shared" si="24"/>
        <v>0</v>
      </c>
      <c r="I778" s="178">
        <f t="shared" si="25"/>
        <v>0</v>
      </c>
      <c r="J778" s="109"/>
    </row>
    <row r="779" spans="1:10" hidden="1">
      <c r="A779" s="1554"/>
      <c r="B779" s="424"/>
      <c r="C779" s="493"/>
      <c r="D779" s="493"/>
      <c r="E779" s="493"/>
      <c r="F779" s="245"/>
      <c r="G779" s="245"/>
      <c r="H779" s="178">
        <f t="shared" si="24"/>
        <v>0</v>
      </c>
      <c r="I779" s="178">
        <f t="shared" si="25"/>
        <v>0</v>
      </c>
      <c r="J779" s="109"/>
    </row>
    <row r="780" spans="1:10" hidden="1">
      <c r="A780" s="1554"/>
      <c r="B780" s="424"/>
      <c r="C780" s="493"/>
      <c r="D780" s="493"/>
      <c r="E780" s="493"/>
      <c r="F780" s="245"/>
      <c r="G780" s="245"/>
      <c r="H780" s="178">
        <f t="shared" si="24"/>
        <v>0</v>
      </c>
      <c r="I780" s="178">
        <f t="shared" si="25"/>
        <v>0</v>
      </c>
      <c r="J780" s="109"/>
    </row>
    <row r="781" spans="1:10" hidden="1">
      <c r="A781" s="1554"/>
      <c r="B781" s="424"/>
      <c r="C781" s="493"/>
      <c r="D781" s="493"/>
      <c r="E781" s="493"/>
      <c r="F781" s="245"/>
      <c r="G781" s="245"/>
      <c r="H781" s="178">
        <f t="shared" si="24"/>
        <v>0</v>
      </c>
      <c r="I781" s="178">
        <f t="shared" si="25"/>
        <v>0</v>
      </c>
      <c r="J781" s="109"/>
    </row>
    <row r="782" spans="1:10" hidden="1">
      <c r="A782" s="1554"/>
      <c r="B782" s="424"/>
      <c r="C782" s="493"/>
      <c r="D782" s="493"/>
      <c r="E782" s="493"/>
      <c r="F782" s="245"/>
      <c r="G782" s="245"/>
      <c r="H782" s="178">
        <f t="shared" si="24"/>
        <v>0</v>
      </c>
      <c r="I782" s="178">
        <f t="shared" si="25"/>
        <v>0</v>
      </c>
      <c r="J782" s="109"/>
    </row>
    <row r="783" spans="1:10" hidden="1">
      <c r="A783" s="1554"/>
      <c r="B783" s="424"/>
      <c r="C783" s="493"/>
      <c r="D783" s="493"/>
      <c r="E783" s="493"/>
      <c r="F783" s="245"/>
      <c r="G783" s="245"/>
      <c r="H783" s="178">
        <f t="shared" si="24"/>
        <v>0</v>
      </c>
      <c r="I783" s="178">
        <f t="shared" si="25"/>
        <v>0</v>
      </c>
      <c r="J783" s="109"/>
    </row>
    <row r="784" spans="1:10" hidden="1">
      <c r="A784" s="1554"/>
      <c r="B784" s="424"/>
      <c r="C784" s="493"/>
      <c r="D784" s="493"/>
      <c r="E784" s="493"/>
      <c r="F784" s="245"/>
      <c r="G784" s="245"/>
      <c r="H784" s="178">
        <f t="shared" si="24"/>
        <v>0</v>
      </c>
      <c r="I784" s="178">
        <f t="shared" si="25"/>
        <v>0</v>
      </c>
      <c r="J784" s="109"/>
    </row>
    <row r="785" spans="1:10" hidden="1">
      <c r="A785" s="1554"/>
      <c r="B785" s="424"/>
      <c r="C785" s="493"/>
      <c r="D785" s="493"/>
      <c r="E785" s="493"/>
      <c r="F785" s="245"/>
      <c r="G785" s="245"/>
      <c r="H785" s="178">
        <f t="shared" si="24"/>
        <v>0</v>
      </c>
      <c r="I785" s="178">
        <f t="shared" si="25"/>
        <v>0</v>
      </c>
      <c r="J785" s="109"/>
    </row>
    <row r="786" spans="1:10" hidden="1">
      <c r="A786" s="1555"/>
      <c r="B786" s="209" t="s">
        <v>985</v>
      </c>
      <c r="C786" s="581">
        <f>SUM(C749:C785)</f>
        <v>0</v>
      </c>
      <c r="D786" s="581">
        <f>SUM(D749:D785)</f>
        <v>0</v>
      </c>
      <c r="E786" s="581">
        <f>SUM(E749:E785)</f>
        <v>0</v>
      </c>
      <c r="F786" s="245"/>
      <c r="G786" s="245"/>
      <c r="H786" s="178">
        <f t="shared" si="24"/>
        <v>0</v>
      </c>
      <c r="I786" s="178">
        <f t="shared" si="25"/>
        <v>0</v>
      </c>
      <c r="J786" s="109"/>
    </row>
    <row r="787" spans="1:10" hidden="1">
      <c r="A787" s="1558" t="s">
        <v>246</v>
      </c>
      <c r="B787" s="533"/>
      <c r="C787" s="587"/>
      <c r="D787" s="587"/>
      <c r="E787" s="587"/>
      <c r="F787" s="178"/>
      <c r="G787" s="178"/>
      <c r="H787" s="178">
        <f t="shared" si="24"/>
        <v>0</v>
      </c>
      <c r="I787" s="178">
        <f t="shared" si="25"/>
        <v>0</v>
      </c>
      <c r="J787" s="109"/>
    </row>
    <row r="788" spans="1:10" hidden="1">
      <c r="A788" s="1558"/>
      <c r="B788" s="541"/>
      <c r="C788" s="556"/>
      <c r="D788" s="556"/>
      <c r="E788" s="556"/>
      <c r="F788" s="178"/>
      <c r="G788" s="178"/>
      <c r="H788" s="178">
        <f t="shared" si="24"/>
        <v>0</v>
      </c>
      <c r="I788" s="178">
        <f t="shared" si="25"/>
        <v>0</v>
      </c>
      <c r="J788" s="109"/>
    </row>
    <row r="789" spans="1:10" hidden="1">
      <c r="A789" s="1558"/>
      <c r="B789" s="755"/>
      <c r="C789" s="766"/>
      <c r="D789" s="766"/>
      <c r="E789" s="766"/>
      <c r="F789" s="178">
        <v>0</v>
      </c>
      <c r="G789" s="178">
        <v>161690.4</v>
      </c>
      <c r="H789" s="178">
        <f t="shared" si="24"/>
        <v>0</v>
      </c>
      <c r="I789" s="178">
        <f t="shared" si="25"/>
        <v>0</v>
      </c>
      <c r="J789" s="109"/>
    </row>
    <row r="790" spans="1:10" ht="18" hidden="1" customHeight="1">
      <c r="A790" s="1558"/>
      <c r="B790" s="425"/>
      <c r="C790" s="561"/>
      <c r="D790" s="561"/>
      <c r="E790" s="493"/>
      <c r="F790" s="69"/>
      <c r="G790" s="69"/>
      <c r="H790" s="178">
        <f t="shared" si="24"/>
        <v>0</v>
      </c>
      <c r="I790" s="178">
        <f t="shared" si="25"/>
        <v>0</v>
      </c>
      <c r="J790" s="109"/>
    </row>
    <row r="791" spans="1:10" ht="18" hidden="1" customHeight="1">
      <c r="A791" s="1558"/>
      <c r="B791" s="425"/>
      <c r="C791" s="561"/>
      <c r="D791" s="561"/>
      <c r="E791" s="493"/>
      <c r="F791" s="69"/>
      <c r="G791" s="69"/>
      <c r="H791" s="178">
        <f t="shared" si="24"/>
        <v>0</v>
      </c>
      <c r="I791" s="178">
        <f t="shared" si="25"/>
        <v>0</v>
      </c>
      <c r="J791" s="109"/>
    </row>
    <row r="792" spans="1:10" ht="18" hidden="1" customHeight="1">
      <c r="A792" s="1558"/>
      <c r="B792" s="425"/>
      <c r="C792" s="561"/>
      <c r="D792" s="561"/>
      <c r="E792" s="493"/>
      <c r="F792" s="69"/>
      <c r="G792" s="69"/>
      <c r="H792" s="178">
        <f t="shared" si="24"/>
        <v>0</v>
      </c>
      <c r="I792" s="178">
        <f t="shared" si="25"/>
        <v>0</v>
      </c>
      <c r="J792" s="109"/>
    </row>
    <row r="793" spans="1:10" ht="18" hidden="1" customHeight="1">
      <c r="A793" s="1558"/>
      <c r="B793" s="425"/>
      <c r="C793" s="561"/>
      <c r="D793" s="561"/>
      <c r="E793" s="493"/>
      <c r="F793" s="69"/>
      <c r="G793" s="69"/>
      <c r="H793" s="178">
        <f t="shared" si="24"/>
        <v>0</v>
      </c>
      <c r="I793" s="178">
        <f t="shared" si="25"/>
        <v>0</v>
      </c>
      <c r="J793" s="109"/>
    </row>
    <row r="794" spans="1:10" ht="18" hidden="1" customHeight="1">
      <c r="A794" s="1558"/>
      <c r="B794" s="425"/>
      <c r="C794" s="561"/>
      <c r="D794" s="561"/>
      <c r="E794" s="493"/>
      <c r="F794" s="69"/>
      <c r="G794" s="69"/>
      <c r="H794" s="178">
        <f t="shared" si="24"/>
        <v>0</v>
      </c>
      <c r="I794" s="178">
        <f t="shared" si="25"/>
        <v>0</v>
      </c>
      <c r="J794" s="109"/>
    </row>
    <row r="795" spans="1:10" ht="18" hidden="1" customHeight="1">
      <c r="A795" s="1558"/>
      <c r="B795" s="425"/>
      <c r="C795" s="561"/>
      <c r="D795" s="561"/>
      <c r="E795" s="493"/>
      <c r="F795" s="69"/>
      <c r="G795" s="69"/>
      <c r="H795" s="178">
        <f t="shared" si="24"/>
        <v>0</v>
      </c>
      <c r="I795" s="178">
        <f t="shared" si="25"/>
        <v>0</v>
      </c>
      <c r="J795" s="109"/>
    </row>
    <row r="796" spans="1:10" ht="18" hidden="1" customHeight="1">
      <c r="A796" s="1558"/>
      <c r="B796" s="425"/>
      <c r="C796" s="561"/>
      <c r="D796" s="561"/>
      <c r="E796" s="493"/>
      <c r="F796" s="69"/>
      <c r="G796" s="69"/>
      <c r="H796" s="178">
        <f t="shared" si="24"/>
        <v>0</v>
      </c>
      <c r="I796" s="178">
        <f t="shared" si="25"/>
        <v>0</v>
      </c>
      <c r="J796" s="109"/>
    </row>
    <row r="797" spans="1:10" ht="18" hidden="1" customHeight="1">
      <c r="A797" s="1558"/>
      <c r="B797" s="425"/>
      <c r="C797" s="561"/>
      <c r="D797" s="561"/>
      <c r="E797" s="493"/>
      <c r="F797" s="69"/>
      <c r="G797" s="69"/>
      <c r="H797" s="178">
        <f t="shared" si="24"/>
        <v>0</v>
      </c>
      <c r="I797" s="178">
        <f t="shared" si="25"/>
        <v>0</v>
      </c>
      <c r="J797" s="109"/>
    </row>
    <row r="798" spans="1:10" ht="18" hidden="1" customHeight="1">
      <c r="A798" s="1558"/>
      <c r="B798" s="425"/>
      <c r="C798" s="561"/>
      <c r="D798" s="561"/>
      <c r="E798" s="493"/>
      <c r="F798" s="69"/>
      <c r="G798" s="69"/>
      <c r="H798" s="178">
        <f t="shared" si="24"/>
        <v>0</v>
      </c>
      <c r="I798" s="178">
        <f t="shared" si="25"/>
        <v>0</v>
      </c>
      <c r="J798" s="109"/>
    </row>
    <row r="799" spans="1:10" ht="18" hidden="1" customHeight="1">
      <c r="A799" s="1558"/>
      <c r="B799" s="425"/>
      <c r="C799" s="561"/>
      <c r="D799" s="561"/>
      <c r="E799" s="493"/>
      <c r="F799" s="69"/>
      <c r="G799" s="69"/>
      <c r="H799" s="178">
        <f t="shared" si="24"/>
        <v>0</v>
      </c>
      <c r="I799" s="178">
        <f t="shared" si="25"/>
        <v>0</v>
      </c>
      <c r="J799" s="109"/>
    </row>
    <row r="800" spans="1:10" ht="18" hidden="1" customHeight="1">
      <c r="A800" s="1558"/>
      <c r="B800" s="425"/>
      <c r="C800" s="561"/>
      <c r="D800" s="561"/>
      <c r="E800" s="493"/>
      <c r="F800" s="69"/>
      <c r="G800" s="69"/>
      <c r="H800" s="178">
        <f t="shared" si="24"/>
        <v>0</v>
      </c>
      <c r="I800" s="178">
        <f t="shared" si="25"/>
        <v>0</v>
      </c>
      <c r="J800" s="109"/>
    </row>
    <row r="801" spans="1:10" ht="18" hidden="1" customHeight="1">
      <c r="A801" s="1558"/>
      <c r="B801" s="425"/>
      <c r="C801" s="561"/>
      <c r="D801" s="561"/>
      <c r="E801" s="493"/>
      <c r="F801" s="69"/>
      <c r="G801" s="69"/>
      <c r="H801" s="178">
        <f t="shared" si="24"/>
        <v>0</v>
      </c>
      <c r="I801" s="178">
        <f t="shared" si="25"/>
        <v>0</v>
      </c>
      <c r="J801" s="109"/>
    </row>
    <row r="802" spans="1:10" ht="18" hidden="1" customHeight="1">
      <c r="A802" s="1558"/>
      <c r="B802" s="425"/>
      <c r="C802" s="561"/>
      <c r="D802" s="561"/>
      <c r="E802" s="493"/>
      <c r="F802" s="69"/>
      <c r="G802" s="69"/>
      <c r="H802" s="178">
        <f t="shared" si="24"/>
        <v>0</v>
      </c>
      <c r="I802" s="178">
        <f t="shared" si="25"/>
        <v>0</v>
      </c>
      <c r="J802" s="109"/>
    </row>
    <row r="803" spans="1:10" ht="18" hidden="1" customHeight="1">
      <c r="A803" s="1558"/>
      <c r="B803" s="425"/>
      <c r="C803" s="561"/>
      <c r="D803" s="561"/>
      <c r="E803" s="493"/>
      <c r="F803" s="69"/>
      <c r="G803" s="69"/>
      <c r="H803" s="178">
        <f t="shared" si="24"/>
        <v>0</v>
      </c>
      <c r="I803" s="178">
        <f t="shared" si="25"/>
        <v>0</v>
      </c>
      <c r="J803" s="109"/>
    </row>
    <row r="804" spans="1:10" ht="18" hidden="1" customHeight="1">
      <c r="A804" s="1558"/>
      <c r="B804" s="425"/>
      <c r="C804" s="561"/>
      <c r="D804" s="561"/>
      <c r="E804" s="493"/>
      <c r="F804" s="69"/>
      <c r="G804" s="69"/>
      <c r="H804" s="178">
        <f t="shared" si="24"/>
        <v>0</v>
      </c>
      <c r="I804" s="178">
        <f t="shared" si="25"/>
        <v>0</v>
      </c>
      <c r="J804" s="109"/>
    </row>
    <row r="805" spans="1:10" ht="18" hidden="1" customHeight="1">
      <c r="A805" s="1558"/>
      <c r="B805" s="425"/>
      <c r="C805" s="561"/>
      <c r="D805" s="561"/>
      <c r="E805" s="493"/>
      <c r="F805" s="69"/>
      <c r="G805" s="69"/>
      <c r="H805" s="178">
        <f t="shared" si="24"/>
        <v>0</v>
      </c>
      <c r="I805" s="178">
        <f t="shared" si="25"/>
        <v>0</v>
      </c>
      <c r="J805" s="109"/>
    </row>
    <row r="806" spans="1:10" ht="18" hidden="1" customHeight="1">
      <c r="A806" s="1558"/>
      <c r="B806" s="425"/>
      <c r="C806" s="561"/>
      <c r="D806" s="561"/>
      <c r="E806" s="493"/>
      <c r="F806" s="69"/>
      <c r="G806" s="69"/>
      <c r="H806" s="178">
        <f t="shared" si="24"/>
        <v>0</v>
      </c>
      <c r="I806" s="178">
        <f t="shared" si="25"/>
        <v>0</v>
      </c>
      <c r="J806" s="109"/>
    </row>
    <row r="807" spans="1:10" ht="18" hidden="1" customHeight="1">
      <c r="A807" s="1558"/>
      <c r="B807" s="425"/>
      <c r="C807" s="561"/>
      <c r="D807" s="561"/>
      <c r="E807" s="493"/>
      <c r="F807" s="69"/>
      <c r="G807" s="69"/>
      <c r="H807" s="178">
        <f t="shared" si="24"/>
        <v>0</v>
      </c>
      <c r="I807" s="178">
        <f t="shared" si="25"/>
        <v>0</v>
      </c>
      <c r="J807" s="109"/>
    </row>
    <row r="808" spans="1:10" ht="18" hidden="1" customHeight="1">
      <c r="A808" s="1558"/>
      <c r="B808" s="425"/>
      <c r="C808" s="561"/>
      <c r="D808" s="561"/>
      <c r="E808" s="493"/>
      <c r="F808" s="69"/>
      <c r="G808" s="69"/>
      <c r="H808" s="178">
        <f t="shared" si="24"/>
        <v>0</v>
      </c>
      <c r="I808" s="178">
        <f t="shared" si="25"/>
        <v>0</v>
      </c>
      <c r="J808" s="109"/>
    </row>
    <row r="809" spans="1:10" ht="18" hidden="1" customHeight="1">
      <c r="A809" s="1558"/>
      <c r="B809" s="425"/>
      <c r="C809" s="561"/>
      <c r="D809" s="561"/>
      <c r="E809" s="493"/>
      <c r="F809" s="69"/>
      <c r="G809" s="69"/>
      <c r="H809" s="178">
        <f t="shared" si="24"/>
        <v>0</v>
      </c>
      <c r="I809" s="178">
        <f t="shared" si="25"/>
        <v>0</v>
      </c>
      <c r="J809" s="109"/>
    </row>
    <row r="810" spans="1:10" ht="18" hidden="1" customHeight="1">
      <c r="A810" s="1558"/>
      <c r="B810" s="425"/>
      <c r="C810" s="561"/>
      <c r="D810" s="561"/>
      <c r="E810" s="493"/>
      <c r="F810" s="69"/>
      <c r="G810" s="69"/>
      <c r="H810" s="178">
        <f t="shared" si="24"/>
        <v>0</v>
      </c>
      <c r="I810" s="178">
        <f t="shared" si="25"/>
        <v>0</v>
      </c>
      <c r="J810" s="109"/>
    </row>
    <row r="811" spans="1:10" ht="18" hidden="1" customHeight="1">
      <c r="A811" s="1558"/>
      <c r="B811" s="425"/>
      <c r="C811" s="561"/>
      <c r="D811" s="561"/>
      <c r="E811" s="493"/>
      <c r="F811" s="69"/>
      <c r="G811" s="69"/>
      <c r="H811" s="178">
        <f t="shared" si="24"/>
        <v>0</v>
      </c>
      <c r="I811" s="178">
        <f t="shared" si="25"/>
        <v>0</v>
      </c>
      <c r="J811" s="109"/>
    </row>
    <row r="812" spans="1:10" ht="18" hidden="1" customHeight="1">
      <c r="A812" s="1558"/>
      <c r="B812" s="425"/>
      <c r="C812" s="561"/>
      <c r="D812" s="561"/>
      <c r="E812" s="493"/>
      <c r="F812" s="69"/>
      <c r="G812" s="69"/>
      <c r="H812" s="178">
        <f t="shared" si="24"/>
        <v>0</v>
      </c>
      <c r="I812" s="178">
        <f t="shared" si="25"/>
        <v>0</v>
      </c>
      <c r="J812" s="109"/>
    </row>
    <row r="813" spans="1:10" ht="18" hidden="1" customHeight="1">
      <c r="A813" s="1558"/>
      <c r="B813" s="425"/>
      <c r="C813" s="561"/>
      <c r="D813" s="561"/>
      <c r="E813" s="493"/>
      <c r="F813" s="69"/>
      <c r="G813" s="69"/>
      <c r="H813" s="178">
        <f t="shared" si="24"/>
        <v>0</v>
      </c>
      <c r="I813" s="178">
        <f t="shared" si="25"/>
        <v>0</v>
      </c>
      <c r="J813" s="109"/>
    </row>
    <row r="814" spans="1:10" ht="18" hidden="1" customHeight="1">
      <c r="A814" s="1558"/>
      <c r="B814" s="425"/>
      <c r="C814" s="561"/>
      <c r="D814" s="561"/>
      <c r="E814" s="493"/>
      <c r="F814" s="69"/>
      <c r="G814" s="69"/>
      <c r="H814" s="178">
        <f t="shared" si="24"/>
        <v>0</v>
      </c>
      <c r="I814" s="178">
        <f t="shared" si="25"/>
        <v>0</v>
      </c>
      <c r="J814" s="109"/>
    </row>
    <row r="815" spans="1:10" ht="18" hidden="1" customHeight="1">
      <c r="A815" s="1558"/>
      <c r="B815" s="425"/>
      <c r="C815" s="561"/>
      <c r="D815" s="561"/>
      <c r="E815" s="493"/>
      <c r="F815" s="69"/>
      <c r="G815" s="69"/>
      <c r="H815" s="178">
        <f t="shared" si="24"/>
        <v>0</v>
      </c>
      <c r="I815" s="178">
        <f t="shared" si="25"/>
        <v>0</v>
      </c>
      <c r="J815" s="109"/>
    </row>
    <row r="816" spans="1:10" ht="18" hidden="1" customHeight="1">
      <c r="A816" s="1558"/>
      <c r="B816" s="425"/>
      <c r="C816" s="561"/>
      <c r="D816" s="561"/>
      <c r="E816" s="493"/>
      <c r="F816" s="69"/>
      <c r="G816" s="69"/>
      <c r="H816" s="178">
        <f t="shared" si="24"/>
        <v>0</v>
      </c>
      <c r="I816" s="178">
        <f t="shared" si="25"/>
        <v>0</v>
      </c>
      <c r="J816" s="109"/>
    </row>
    <row r="817" spans="1:10" ht="18" hidden="1" customHeight="1">
      <c r="A817" s="1558"/>
      <c r="B817" s="425"/>
      <c r="C817" s="561"/>
      <c r="D817" s="561"/>
      <c r="E817" s="493"/>
      <c r="F817" s="69"/>
      <c r="G817" s="69"/>
      <c r="H817" s="178">
        <f t="shared" si="24"/>
        <v>0</v>
      </c>
      <c r="I817" s="178">
        <f t="shared" si="25"/>
        <v>0</v>
      </c>
      <c r="J817" s="109"/>
    </row>
    <row r="818" spans="1:10" ht="18" hidden="1" customHeight="1">
      <c r="A818" s="1558"/>
      <c r="B818" s="425"/>
      <c r="C818" s="561"/>
      <c r="D818" s="561"/>
      <c r="E818" s="561"/>
      <c r="F818" s="69"/>
      <c r="G818" s="69"/>
      <c r="H818" s="178">
        <f t="shared" si="24"/>
        <v>0</v>
      </c>
      <c r="I818" s="178">
        <f t="shared" si="25"/>
        <v>0</v>
      </c>
      <c r="J818" s="109"/>
    </row>
    <row r="819" spans="1:10" ht="18" hidden="1" customHeight="1">
      <c r="A819" s="1558"/>
      <c r="B819" s="425"/>
      <c r="C819" s="561"/>
      <c r="D819" s="561"/>
      <c r="E819" s="561"/>
      <c r="F819" s="69"/>
      <c r="G819" s="69"/>
      <c r="H819" s="178">
        <f t="shared" si="24"/>
        <v>0</v>
      </c>
      <c r="I819" s="178">
        <f t="shared" si="25"/>
        <v>0</v>
      </c>
      <c r="J819" s="109"/>
    </row>
    <row r="820" spans="1:10" ht="18" hidden="1" customHeight="1">
      <c r="A820" s="1558"/>
      <c r="B820" s="425"/>
      <c r="C820" s="561"/>
      <c r="D820" s="561"/>
      <c r="E820" s="561"/>
      <c r="F820" s="69"/>
      <c r="G820" s="69"/>
      <c r="H820" s="178">
        <f t="shared" si="24"/>
        <v>0</v>
      </c>
      <c r="I820" s="178">
        <f t="shared" si="25"/>
        <v>0</v>
      </c>
      <c r="J820" s="109"/>
    </row>
    <row r="821" spans="1:10" ht="18" hidden="1" customHeight="1">
      <c r="A821" s="1558"/>
      <c r="B821" s="425"/>
      <c r="C821" s="493"/>
      <c r="D821" s="493"/>
      <c r="E821" s="493"/>
      <c r="F821" s="69"/>
      <c r="G821" s="69"/>
      <c r="H821" s="178">
        <f t="shared" si="24"/>
        <v>0</v>
      </c>
      <c r="I821" s="178">
        <f t="shared" si="25"/>
        <v>0</v>
      </c>
      <c r="J821" s="109"/>
    </row>
    <row r="822" spans="1:10" ht="18" hidden="1" customHeight="1">
      <c r="A822" s="1558"/>
      <c r="B822" s="425"/>
      <c r="C822" s="493"/>
      <c r="D822" s="493"/>
      <c r="E822" s="493"/>
      <c r="F822" s="69"/>
      <c r="G822" s="69"/>
      <c r="H822" s="178">
        <f t="shared" si="24"/>
        <v>0</v>
      </c>
      <c r="I822" s="178">
        <f t="shared" si="25"/>
        <v>0</v>
      </c>
      <c r="J822" s="109"/>
    </row>
    <row r="823" spans="1:10" ht="18" hidden="1" customHeight="1">
      <c r="A823" s="1558"/>
      <c r="B823" s="425"/>
      <c r="C823" s="493"/>
      <c r="D823" s="493"/>
      <c r="E823" s="493"/>
      <c r="F823" s="69"/>
      <c r="G823" s="69"/>
      <c r="H823" s="178">
        <f t="shared" si="24"/>
        <v>0</v>
      </c>
      <c r="I823" s="178">
        <f t="shared" si="25"/>
        <v>0</v>
      </c>
      <c r="J823" s="109"/>
    </row>
    <row r="824" spans="1:10" ht="18" hidden="1" customHeight="1">
      <c r="A824" s="1558"/>
      <c r="B824" s="425"/>
      <c r="C824" s="493"/>
      <c r="D824" s="493"/>
      <c r="E824" s="493"/>
      <c r="F824" s="69"/>
      <c r="G824" s="69"/>
      <c r="H824" s="178">
        <f t="shared" si="24"/>
        <v>0</v>
      </c>
      <c r="I824" s="178">
        <f t="shared" si="25"/>
        <v>0</v>
      </c>
      <c r="J824" s="109"/>
    </row>
    <row r="825" spans="1:10" ht="18" hidden="1" customHeight="1">
      <c r="A825" s="1558"/>
      <c r="B825" s="425"/>
      <c r="C825" s="493"/>
      <c r="D825" s="493"/>
      <c r="E825" s="493"/>
      <c r="F825" s="69"/>
      <c r="G825" s="69"/>
      <c r="H825" s="178">
        <f t="shared" si="24"/>
        <v>0</v>
      </c>
      <c r="I825" s="178">
        <f t="shared" si="25"/>
        <v>0</v>
      </c>
      <c r="J825" s="109"/>
    </row>
    <row r="826" spans="1:10" ht="18" hidden="1" customHeight="1">
      <c r="A826" s="1558"/>
      <c r="B826" s="425"/>
      <c r="C826" s="493"/>
      <c r="D826" s="493"/>
      <c r="E826" s="493"/>
      <c r="F826" s="69"/>
      <c r="G826" s="69"/>
      <c r="H826" s="178">
        <f t="shared" si="24"/>
        <v>0</v>
      </c>
      <c r="I826" s="178">
        <f t="shared" si="25"/>
        <v>0</v>
      </c>
      <c r="J826" s="109"/>
    </row>
    <row r="827" spans="1:10" ht="18" hidden="1" customHeight="1">
      <c r="A827" s="1558"/>
      <c r="B827" s="425"/>
      <c r="C827" s="493"/>
      <c r="D827" s="493"/>
      <c r="E827" s="493"/>
      <c r="F827" s="69"/>
      <c r="G827" s="69"/>
      <c r="H827" s="178">
        <f t="shared" si="24"/>
        <v>0</v>
      </c>
      <c r="I827" s="178">
        <f t="shared" si="25"/>
        <v>0</v>
      </c>
      <c r="J827" s="109"/>
    </row>
    <row r="828" spans="1:10" ht="18" hidden="1" customHeight="1">
      <c r="A828" s="1558"/>
      <c r="B828" s="425"/>
      <c r="C828" s="493"/>
      <c r="D828" s="493"/>
      <c r="E828" s="493"/>
      <c r="F828" s="69"/>
      <c r="G828" s="69"/>
      <c r="H828" s="178">
        <f t="shared" si="24"/>
        <v>0</v>
      </c>
      <c r="I828" s="178">
        <f t="shared" si="25"/>
        <v>0</v>
      </c>
      <c r="J828" s="109"/>
    </row>
    <row r="829" spans="1:10" ht="18" hidden="1" customHeight="1">
      <c r="A829" s="1558"/>
      <c r="B829" s="425"/>
      <c r="C829" s="493"/>
      <c r="D829" s="493"/>
      <c r="E829" s="493"/>
      <c r="F829" s="69"/>
      <c r="G829" s="69"/>
      <c r="H829" s="178">
        <f t="shared" si="24"/>
        <v>0</v>
      </c>
      <c r="I829" s="178">
        <f t="shared" si="25"/>
        <v>0</v>
      </c>
      <c r="J829" s="109"/>
    </row>
    <row r="830" spans="1:10" ht="18" hidden="1" customHeight="1">
      <c r="A830" s="1558"/>
      <c r="B830" s="425"/>
      <c r="C830" s="493"/>
      <c r="D830" s="493"/>
      <c r="E830" s="493"/>
      <c r="F830" s="69"/>
      <c r="G830" s="69"/>
      <c r="H830" s="178">
        <f t="shared" si="24"/>
        <v>0</v>
      </c>
      <c r="I830" s="178">
        <f t="shared" si="25"/>
        <v>0</v>
      </c>
      <c r="J830" s="109"/>
    </row>
    <row r="831" spans="1:10" ht="18" hidden="1" customHeight="1">
      <c r="A831" s="1558"/>
      <c r="B831" s="425"/>
      <c r="C831" s="493"/>
      <c r="D831" s="493"/>
      <c r="E831" s="493"/>
      <c r="F831" s="69"/>
      <c r="G831" s="69"/>
      <c r="H831" s="178">
        <f t="shared" si="24"/>
        <v>0</v>
      </c>
      <c r="I831" s="178">
        <f t="shared" si="25"/>
        <v>0</v>
      </c>
      <c r="J831" s="109"/>
    </row>
    <row r="832" spans="1:10" ht="18" hidden="1" customHeight="1">
      <c r="A832" s="1558"/>
      <c r="B832" s="425"/>
      <c r="C832" s="493"/>
      <c r="D832" s="493"/>
      <c r="E832" s="493"/>
      <c r="F832" s="69"/>
      <c r="G832" s="69"/>
      <c r="H832" s="178">
        <f t="shared" si="24"/>
        <v>0</v>
      </c>
      <c r="I832" s="178">
        <f t="shared" si="25"/>
        <v>0</v>
      </c>
      <c r="J832" s="109"/>
    </row>
    <row r="833" spans="1:10" ht="18" hidden="1" customHeight="1">
      <c r="A833" s="1558"/>
      <c r="B833" s="425"/>
      <c r="C833" s="493"/>
      <c r="D833" s="493"/>
      <c r="E833" s="493"/>
      <c r="F833" s="69"/>
      <c r="G833" s="69"/>
      <c r="H833" s="178">
        <f t="shared" si="24"/>
        <v>0</v>
      </c>
      <c r="I833" s="178">
        <f t="shared" si="25"/>
        <v>0</v>
      </c>
      <c r="J833" s="109"/>
    </row>
    <row r="834" spans="1:10" ht="18" hidden="1" customHeight="1">
      <c r="A834" s="1558"/>
      <c r="B834" s="425"/>
      <c r="C834" s="493"/>
      <c r="D834" s="493"/>
      <c r="E834" s="493"/>
      <c r="F834" s="69"/>
      <c r="G834" s="69"/>
      <c r="H834" s="178">
        <f t="shared" si="24"/>
        <v>0</v>
      </c>
      <c r="I834" s="178">
        <f t="shared" si="25"/>
        <v>0</v>
      </c>
      <c r="J834" s="109"/>
    </row>
    <row r="835" spans="1:10" ht="18" hidden="1" customHeight="1">
      <c r="A835" s="1558"/>
      <c r="B835" s="425"/>
      <c r="C835" s="493"/>
      <c r="D835" s="493"/>
      <c r="E835" s="493"/>
      <c r="F835" s="69"/>
      <c r="G835" s="69"/>
      <c r="H835" s="178">
        <f t="shared" si="24"/>
        <v>0</v>
      </c>
      <c r="I835" s="178">
        <f t="shared" si="25"/>
        <v>0</v>
      </c>
      <c r="J835" s="109"/>
    </row>
    <row r="836" spans="1:10" ht="18" hidden="1" customHeight="1">
      <c r="A836" s="1558"/>
      <c r="B836" s="425"/>
      <c r="C836" s="561"/>
      <c r="D836" s="561"/>
      <c r="E836" s="493"/>
      <c r="F836" s="69"/>
      <c r="G836" s="69"/>
      <c r="H836" s="178">
        <f t="shared" si="24"/>
        <v>0</v>
      </c>
      <c r="I836" s="178">
        <f t="shared" si="25"/>
        <v>0</v>
      </c>
      <c r="J836" s="109"/>
    </row>
    <row r="837" spans="1:10" ht="18" hidden="1" customHeight="1">
      <c r="A837" s="1558"/>
      <c r="B837" s="425"/>
      <c r="C837" s="561"/>
      <c r="D837" s="561"/>
      <c r="E837" s="561"/>
      <c r="F837" s="69"/>
      <c r="G837" s="69"/>
      <c r="H837" s="178">
        <f t="shared" si="24"/>
        <v>0</v>
      </c>
      <c r="I837" s="178">
        <f t="shared" si="25"/>
        <v>0</v>
      </c>
      <c r="J837" s="109"/>
    </row>
    <row r="838" spans="1:10" ht="18" hidden="1" customHeight="1">
      <c r="A838" s="1558"/>
      <c r="B838" s="425"/>
      <c r="C838" s="561"/>
      <c r="D838" s="561"/>
      <c r="E838" s="561"/>
      <c r="F838" s="69"/>
      <c r="G838" s="69"/>
      <c r="H838" s="178">
        <f t="shared" si="24"/>
        <v>0</v>
      </c>
      <c r="I838" s="178">
        <f t="shared" si="25"/>
        <v>0</v>
      </c>
      <c r="J838" s="109"/>
    </row>
    <row r="839" spans="1:10" ht="18" hidden="1" customHeight="1">
      <c r="A839" s="1558"/>
      <c r="B839" s="425"/>
      <c r="C839" s="561"/>
      <c r="D839" s="561"/>
      <c r="E839" s="561"/>
      <c r="F839" s="69"/>
      <c r="G839" s="69"/>
      <c r="H839" s="178">
        <f t="shared" si="24"/>
        <v>0</v>
      </c>
      <c r="I839" s="178">
        <f t="shared" si="25"/>
        <v>0</v>
      </c>
      <c r="J839" s="109"/>
    </row>
    <row r="840" spans="1:10" ht="18" hidden="1" customHeight="1">
      <c r="A840" s="1558"/>
      <c r="B840" s="425"/>
      <c r="C840" s="561"/>
      <c r="D840" s="561"/>
      <c r="E840" s="561"/>
      <c r="F840" s="69"/>
      <c r="G840" s="69"/>
      <c r="H840" s="178">
        <f t="shared" si="24"/>
        <v>0</v>
      </c>
      <c r="I840" s="178">
        <f t="shared" si="25"/>
        <v>0</v>
      </c>
      <c r="J840" s="109"/>
    </row>
    <row r="841" spans="1:10" ht="18" hidden="1" customHeight="1">
      <c r="A841" s="1558"/>
      <c r="B841" s="425"/>
      <c r="C841" s="561"/>
      <c r="D841" s="561"/>
      <c r="E841" s="561"/>
      <c r="F841" s="69"/>
      <c r="G841" s="69"/>
      <c r="H841" s="178">
        <f t="shared" ref="H841:H904" si="26">E841+D841-C841</f>
        <v>0</v>
      </c>
      <c r="I841" s="178">
        <f t="shared" ref="I841:I904" si="27">SUM(C841:E841)</f>
        <v>0</v>
      </c>
      <c r="J841" s="109"/>
    </row>
    <row r="842" spans="1:10" ht="18" hidden="1" customHeight="1">
      <c r="A842" s="1558"/>
      <c r="B842" s="425"/>
      <c r="C842" s="561"/>
      <c r="D842" s="561"/>
      <c r="E842" s="561"/>
      <c r="F842" s="69"/>
      <c r="G842" s="69"/>
      <c r="H842" s="178">
        <f t="shared" si="26"/>
        <v>0</v>
      </c>
      <c r="I842" s="178">
        <f t="shared" si="27"/>
        <v>0</v>
      </c>
      <c r="J842" s="109"/>
    </row>
    <row r="843" spans="1:10" ht="18" hidden="1" customHeight="1">
      <c r="A843" s="1558"/>
      <c r="B843" s="425"/>
      <c r="C843" s="561"/>
      <c r="D843" s="561"/>
      <c r="E843" s="561"/>
      <c r="F843" s="69"/>
      <c r="G843" s="69"/>
      <c r="H843" s="178">
        <f t="shared" si="26"/>
        <v>0</v>
      </c>
      <c r="I843" s="178">
        <f t="shared" si="27"/>
        <v>0</v>
      </c>
      <c r="J843" s="109"/>
    </row>
    <row r="844" spans="1:10" ht="18" hidden="1" customHeight="1">
      <c r="A844" s="1558"/>
      <c r="B844" s="425"/>
      <c r="C844" s="561"/>
      <c r="D844" s="561"/>
      <c r="E844" s="493"/>
      <c r="F844" s="69"/>
      <c r="G844" s="69"/>
      <c r="H844" s="178">
        <f t="shared" si="26"/>
        <v>0</v>
      </c>
      <c r="I844" s="178">
        <f t="shared" si="27"/>
        <v>0</v>
      </c>
      <c r="J844" s="109"/>
    </row>
    <row r="845" spans="1:10" ht="18" hidden="1" customHeight="1">
      <c r="A845" s="1558"/>
      <c r="B845" s="425"/>
      <c r="C845" s="493"/>
      <c r="D845" s="493"/>
      <c r="E845" s="493"/>
      <c r="F845" s="69"/>
      <c r="G845" s="69"/>
      <c r="H845" s="178">
        <f t="shared" si="26"/>
        <v>0</v>
      </c>
      <c r="I845" s="178">
        <f t="shared" si="27"/>
        <v>0</v>
      </c>
      <c r="J845" s="109"/>
    </row>
    <row r="846" spans="1:10" ht="18" hidden="1" customHeight="1">
      <c r="A846" s="1558"/>
      <c r="B846" s="425"/>
      <c r="C846" s="493"/>
      <c r="D846" s="493"/>
      <c r="E846" s="493"/>
      <c r="F846" s="69"/>
      <c r="G846" s="69"/>
      <c r="H846" s="178">
        <f t="shared" si="26"/>
        <v>0</v>
      </c>
      <c r="I846" s="178">
        <f t="shared" si="27"/>
        <v>0</v>
      </c>
      <c r="J846" s="109"/>
    </row>
    <row r="847" spans="1:10" ht="18" hidden="1" customHeight="1">
      <c r="A847" s="1558"/>
      <c r="B847" s="425"/>
      <c r="C847" s="493"/>
      <c r="D847" s="493"/>
      <c r="E847" s="493"/>
      <c r="F847" s="69"/>
      <c r="G847" s="69"/>
      <c r="H847" s="178">
        <f t="shared" si="26"/>
        <v>0</v>
      </c>
      <c r="I847" s="178">
        <f t="shared" si="27"/>
        <v>0</v>
      </c>
      <c r="J847" s="109"/>
    </row>
    <row r="848" spans="1:10" ht="18" hidden="1" customHeight="1">
      <c r="A848" s="1558"/>
      <c r="B848" s="425"/>
      <c r="C848" s="493"/>
      <c r="D848" s="493"/>
      <c r="E848" s="493"/>
      <c r="F848" s="69"/>
      <c r="G848" s="69"/>
      <c r="H848" s="178">
        <f t="shared" si="26"/>
        <v>0</v>
      </c>
      <c r="I848" s="178">
        <f t="shared" si="27"/>
        <v>0</v>
      </c>
      <c r="J848" s="109"/>
    </row>
    <row r="849" spans="1:10" ht="18" hidden="1" customHeight="1">
      <c r="A849" s="1558"/>
      <c r="B849" s="425"/>
      <c r="C849" s="493"/>
      <c r="D849" s="493"/>
      <c r="E849" s="493"/>
      <c r="F849" s="69"/>
      <c r="G849" s="69"/>
      <c r="H849" s="178">
        <f t="shared" si="26"/>
        <v>0</v>
      </c>
      <c r="I849" s="178">
        <f t="shared" si="27"/>
        <v>0</v>
      </c>
      <c r="J849" s="109"/>
    </row>
    <row r="850" spans="1:10" ht="18" hidden="1" customHeight="1">
      <c r="A850" s="1558"/>
      <c r="B850" s="425"/>
      <c r="C850" s="561"/>
      <c r="D850" s="561"/>
      <c r="E850" s="561"/>
      <c r="F850" s="69"/>
      <c r="G850" s="69"/>
      <c r="H850" s="178">
        <f t="shared" si="26"/>
        <v>0</v>
      </c>
      <c r="I850" s="178">
        <f t="shared" si="27"/>
        <v>0</v>
      </c>
      <c r="J850" s="109"/>
    </row>
    <row r="851" spans="1:10" ht="18" hidden="1" customHeight="1">
      <c r="A851" s="1558"/>
      <c r="B851" s="425"/>
      <c r="C851" s="561"/>
      <c r="D851" s="561"/>
      <c r="E851" s="561"/>
      <c r="F851" s="69"/>
      <c r="G851" s="69"/>
      <c r="H851" s="178">
        <f t="shared" si="26"/>
        <v>0</v>
      </c>
      <c r="I851" s="178">
        <f t="shared" si="27"/>
        <v>0</v>
      </c>
      <c r="J851" s="109"/>
    </row>
    <row r="852" spans="1:10" ht="18" hidden="1" customHeight="1">
      <c r="A852" s="1558"/>
      <c r="B852" s="425"/>
      <c r="C852" s="561"/>
      <c r="D852" s="561"/>
      <c r="E852" s="561"/>
      <c r="F852" s="69"/>
      <c r="G852" s="69"/>
      <c r="H852" s="178">
        <f t="shared" si="26"/>
        <v>0</v>
      </c>
      <c r="I852" s="178">
        <f t="shared" si="27"/>
        <v>0</v>
      </c>
      <c r="J852" s="109"/>
    </row>
    <row r="853" spans="1:10" ht="18" hidden="1" customHeight="1">
      <c r="A853" s="1558"/>
      <c r="B853" s="425"/>
      <c r="C853" s="561"/>
      <c r="D853" s="561"/>
      <c r="E853" s="561"/>
      <c r="F853" s="69"/>
      <c r="G853" s="69"/>
      <c r="H853" s="178">
        <f t="shared" si="26"/>
        <v>0</v>
      </c>
      <c r="I853" s="178">
        <f t="shared" si="27"/>
        <v>0</v>
      </c>
      <c r="J853" s="109"/>
    </row>
    <row r="854" spans="1:10" ht="18" hidden="1" customHeight="1">
      <c r="A854" s="1558"/>
      <c r="B854" s="425"/>
      <c r="C854" s="561"/>
      <c r="D854" s="561"/>
      <c r="E854" s="561"/>
      <c r="F854" s="69"/>
      <c r="G854" s="69"/>
      <c r="H854" s="178">
        <f t="shared" si="26"/>
        <v>0</v>
      </c>
      <c r="I854" s="178">
        <f t="shared" si="27"/>
        <v>0</v>
      </c>
      <c r="J854" s="109"/>
    </row>
    <row r="855" spans="1:10" ht="18" hidden="1" customHeight="1">
      <c r="A855" s="1558"/>
      <c r="B855" s="425"/>
      <c r="C855" s="561"/>
      <c r="D855" s="561"/>
      <c r="E855" s="561"/>
      <c r="F855" s="69"/>
      <c r="G855" s="69"/>
      <c r="H855" s="178">
        <f t="shared" si="26"/>
        <v>0</v>
      </c>
      <c r="I855" s="178">
        <f t="shared" si="27"/>
        <v>0</v>
      </c>
      <c r="J855" s="109"/>
    </row>
    <row r="856" spans="1:10" ht="18" hidden="1" customHeight="1">
      <c r="A856" s="1558"/>
      <c r="B856" s="425"/>
      <c r="C856" s="561"/>
      <c r="D856" s="561"/>
      <c r="E856" s="561"/>
      <c r="F856" s="69"/>
      <c r="G856" s="69"/>
      <c r="H856" s="178">
        <f t="shared" si="26"/>
        <v>0</v>
      </c>
      <c r="I856" s="178">
        <f t="shared" si="27"/>
        <v>0</v>
      </c>
      <c r="J856" s="109"/>
    </row>
    <row r="857" spans="1:10" ht="18" hidden="1" customHeight="1">
      <c r="A857" s="1558"/>
      <c r="B857" s="425"/>
      <c r="C857" s="561"/>
      <c r="D857" s="561"/>
      <c r="E857" s="561"/>
      <c r="F857" s="69"/>
      <c r="G857" s="69"/>
      <c r="H857" s="178">
        <f t="shared" si="26"/>
        <v>0</v>
      </c>
      <c r="I857" s="178">
        <f t="shared" si="27"/>
        <v>0</v>
      </c>
      <c r="J857" s="109"/>
    </row>
    <row r="858" spans="1:10" ht="18" hidden="1" customHeight="1">
      <c r="A858" s="1558"/>
      <c r="B858" s="425"/>
      <c r="C858" s="561"/>
      <c r="D858" s="561"/>
      <c r="E858" s="561"/>
      <c r="F858" s="69"/>
      <c r="G858" s="69"/>
      <c r="H858" s="178">
        <f t="shared" si="26"/>
        <v>0</v>
      </c>
      <c r="I858" s="178">
        <f t="shared" si="27"/>
        <v>0</v>
      </c>
      <c r="J858" s="109"/>
    </row>
    <row r="859" spans="1:10" ht="18" hidden="1" customHeight="1">
      <c r="A859" s="1558"/>
      <c r="B859" s="425"/>
      <c r="C859" s="561"/>
      <c r="D859" s="561"/>
      <c r="E859" s="493"/>
      <c r="F859" s="69"/>
      <c r="G859" s="69"/>
      <c r="H859" s="178">
        <f t="shared" si="26"/>
        <v>0</v>
      </c>
      <c r="I859" s="178">
        <f t="shared" si="27"/>
        <v>0</v>
      </c>
      <c r="J859" s="109"/>
    </row>
    <row r="860" spans="1:10" ht="18" hidden="1" customHeight="1">
      <c r="A860" s="1558"/>
      <c r="B860" s="425"/>
      <c r="C860" s="561"/>
      <c r="D860" s="561"/>
      <c r="E860" s="493"/>
      <c r="F860" s="69"/>
      <c r="G860" s="69"/>
      <c r="H860" s="178">
        <f t="shared" si="26"/>
        <v>0</v>
      </c>
      <c r="I860" s="178">
        <f t="shared" si="27"/>
        <v>0</v>
      </c>
      <c r="J860" s="109"/>
    </row>
    <row r="861" spans="1:10" ht="18" hidden="1" customHeight="1">
      <c r="A861" s="1558"/>
      <c r="B861" s="425"/>
      <c r="C861" s="561"/>
      <c r="D861" s="561"/>
      <c r="E861" s="493"/>
      <c r="F861" s="69"/>
      <c r="G861" s="69"/>
      <c r="H861" s="178">
        <f t="shared" si="26"/>
        <v>0</v>
      </c>
      <c r="I861" s="178">
        <f t="shared" si="27"/>
        <v>0</v>
      </c>
      <c r="J861" s="109"/>
    </row>
    <row r="862" spans="1:10" ht="18" hidden="1" customHeight="1">
      <c r="A862" s="1558"/>
      <c r="B862" s="425"/>
      <c r="C862" s="561"/>
      <c r="D862" s="561"/>
      <c r="E862" s="493"/>
      <c r="F862" s="69"/>
      <c r="G862" s="69"/>
      <c r="H862" s="178">
        <f t="shared" si="26"/>
        <v>0</v>
      </c>
      <c r="I862" s="178">
        <f t="shared" si="27"/>
        <v>0</v>
      </c>
      <c r="J862" s="109"/>
    </row>
    <row r="863" spans="1:10" ht="18" hidden="1" customHeight="1">
      <c r="A863" s="1558"/>
      <c r="B863" s="425"/>
      <c r="C863" s="561"/>
      <c r="D863" s="561"/>
      <c r="E863" s="493"/>
      <c r="F863" s="69"/>
      <c r="G863" s="69"/>
      <c r="H863" s="178">
        <f t="shared" si="26"/>
        <v>0</v>
      </c>
      <c r="I863" s="178">
        <f t="shared" si="27"/>
        <v>0</v>
      </c>
      <c r="J863" s="109"/>
    </row>
    <row r="864" spans="1:10" ht="18" hidden="1" customHeight="1">
      <c r="A864" s="1558"/>
      <c r="B864" s="425"/>
      <c r="C864" s="561"/>
      <c r="D864" s="561"/>
      <c r="E864" s="493"/>
      <c r="F864" s="69"/>
      <c r="G864" s="69"/>
      <c r="H864" s="178">
        <f t="shared" si="26"/>
        <v>0</v>
      </c>
      <c r="I864" s="178">
        <f t="shared" si="27"/>
        <v>0</v>
      </c>
      <c r="J864" s="109"/>
    </row>
    <row r="865" spans="1:10" ht="18" hidden="1" customHeight="1">
      <c r="A865" s="1558"/>
      <c r="B865" s="425"/>
      <c r="C865" s="561"/>
      <c r="D865" s="561"/>
      <c r="E865" s="493"/>
      <c r="F865" s="69"/>
      <c r="G865" s="69"/>
      <c r="H865" s="178">
        <f t="shared" si="26"/>
        <v>0</v>
      </c>
      <c r="I865" s="178">
        <f t="shared" si="27"/>
        <v>0</v>
      </c>
      <c r="J865" s="109"/>
    </row>
    <row r="866" spans="1:10" ht="18" hidden="1" customHeight="1">
      <c r="A866" s="1558"/>
      <c r="B866" s="425"/>
      <c r="C866" s="561"/>
      <c r="D866" s="561"/>
      <c r="E866" s="493"/>
      <c r="F866" s="69"/>
      <c r="G866" s="69"/>
      <c r="H866" s="178">
        <f t="shared" si="26"/>
        <v>0</v>
      </c>
      <c r="I866" s="178">
        <f t="shared" si="27"/>
        <v>0</v>
      </c>
      <c r="J866" s="109"/>
    </row>
    <row r="867" spans="1:10" ht="18" hidden="1" customHeight="1">
      <c r="A867" s="1558"/>
      <c r="B867" s="425"/>
      <c r="C867" s="561"/>
      <c r="D867" s="561"/>
      <c r="E867" s="493"/>
      <c r="F867" s="69"/>
      <c r="G867" s="69"/>
      <c r="H867" s="178">
        <f t="shared" si="26"/>
        <v>0</v>
      </c>
      <c r="I867" s="178">
        <f t="shared" si="27"/>
        <v>0</v>
      </c>
      <c r="J867" s="109"/>
    </row>
    <row r="868" spans="1:10" ht="18" hidden="1" customHeight="1">
      <c r="A868" s="1558"/>
      <c r="B868" s="425"/>
      <c r="C868" s="561"/>
      <c r="D868" s="561"/>
      <c r="E868" s="493"/>
      <c r="F868" s="69"/>
      <c r="G868" s="69"/>
      <c r="H868" s="178">
        <f t="shared" si="26"/>
        <v>0</v>
      </c>
      <c r="I868" s="178">
        <f t="shared" si="27"/>
        <v>0</v>
      </c>
      <c r="J868" s="109"/>
    </row>
    <row r="869" spans="1:10" ht="18" hidden="1" customHeight="1">
      <c r="A869" s="1558"/>
      <c r="B869" s="425"/>
      <c r="C869" s="561"/>
      <c r="D869" s="561"/>
      <c r="E869" s="493"/>
      <c r="F869" s="69"/>
      <c r="G869" s="69"/>
      <c r="H869" s="178">
        <f t="shared" si="26"/>
        <v>0</v>
      </c>
      <c r="I869" s="178">
        <f t="shared" si="27"/>
        <v>0</v>
      </c>
      <c r="J869" s="109"/>
    </row>
    <row r="870" spans="1:10" ht="18" hidden="1" customHeight="1">
      <c r="A870" s="1558"/>
      <c r="B870" s="425"/>
      <c r="C870" s="561"/>
      <c r="D870" s="561"/>
      <c r="E870" s="493"/>
      <c r="F870" s="69"/>
      <c r="G870" s="69"/>
      <c r="H870" s="178">
        <f t="shared" si="26"/>
        <v>0</v>
      </c>
      <c r="I870" s="178">
        <f t="shared" si="27"/>
        <v>0</v>
      </c>
      <c r="J870" s="109"/>
    </row>
    <row r="871" spans="1:10" ht="18" hidden="1" customHeight="1">
      <c r="A871" s="1558"/>
      <c r="B871" s="425"/>
      <c r="C871" s="561"/>
      <c r="D871" s="561"/>
      <c r="E871" s="493"/>
      <c r="F871" s="69"/>
      <c r="G871" s="69"/>
      <c r="H871" s="178">
        <f t="shared" si="26"/>
        <v>0</v>
      </c>
      <c r="I871" s="178">
        <f t="shared" si="27"/>
        <v>0</v>
      </c>
      <c r="J871" s="109"/>
    </row>
    <row r="872" spans="1:10" ht="18" hidden="1" customHeight="1">
      <c r="A872" s="1558"/>
      <c r="B872" s="425"/>
      <c r="C872" s="561"/>
      <c r="D872" s="561"/>
      <c r="E872" s="493"/>
      <c r="F872" s="69"/>
      <c r="G872" s="69"/>
      <c r="H872" s="178">
        <f t="shared" si="26"/>
        <v>0</v>
      </c>
      <c r="I872" s="178">
        <f t="shared" si="27"/>
        <v>0</v>
      </c>
      <c r="J872" s="109"/>
    </row>
    <row r="873" spans="1:10" ht="18" hidden="1" customHeight="1">
      <c r="A873" s="1558"/>
      <c r="B873" s="425"/>
      <c r="C873" s="561"/>
      <c r="D873" s="561"/>
      <c r="E873" s="493"/>
      <c r="F873" s="69"/>
      <c r="G873" s="69"/>
      <c r="H873" s="178">
        <f t="shared" si="26"/>
        <v>0</v>
      </c>
      <c r="I873" s="178">
        <f t="shared" si="27"/>
        <v>0</v>
      </c>
      <c r="J873" s="109"/>
    </row>
    <row r="874" spans="1:10" ht="18" hidden="1" customHeight="1">
      <c r="A874" s="1558"/>
      <c r="B874" s="425"/>
      <c r="C874" s="561"/>
      <c r="D874" s="561"/>
      <c r="E874" s="493"/>
      <c r="F874" s="69"/>
      <c r="G874" s="69"/>
      <c r="H874" s="178">
        <f t="shared" si="26"/>
        <v>0</v>
      </c>
      <c r="I874" s="178">
        <f t="shared" si="27"/>
        <v>0</v>
      </c>
      <c r="J874" s="109"/>
    </row>
    <row r="875" spans="1:10" ht="18" hidden="1" customHeight="1">
      <c r="A875" s="1558"/>
      <c r="B875" s="425"/>
      <c r="C875" s="561"/>
      <c r="D875" s="561"/>
      <c r="E875" s="577"/>
      <c r="F875" s="69"/>
      <c r="G875" s="69"/>
      <c r="H875" s="178">
        <f t="shared" si="26"/>
        <v>0</v>
      </c>
      <c r="I875" s="178">
        <f t="shared" si="27"/>
        <v>0</v>
      </c>
      <c r="J875" s="109"/>
    </row>
    <row r="876" spans="1:10" ht="18" hidden="1" customHeight="1">
      <c r="A876" s="1558"/>
      <c r="B876" s="425"/>
      <c r="C876" s="561"/>
      <c r="D876" s="561"/>
      <c r="E876" s="577"/>
      <c r="F876" s="69"/>
      <c r="G876" s="69"/>
      <c r="H876" s="178">
        <f t="shared" si="26"/>
        <v>0</v>
      </c>
      <c r="I876" s="178">
        <f t="shared" si="27"/>
        <v>0</v>
      </c>
      <c r="J876" s="109"/>
    </row>
    <row r="877" spans="1:10" ht="18" hidden="1" customHeight="1">
      <c r="A877" s="1558"/>
      <c r="B877" s="425"/>
      <c r="C877" s="561"/>
      <c r="D877" s="561"/>
      <c r="E877" s="577"/>
      <c r="F877" s="69"/>
      <c r="G877" s="69"/>
      <c r="H877" s="178">
        <f t="shared" si="26"/>
        <v>0</v>
      </c>
      <c r="I877" s="178">
        <f t="shared" si="27"/>
        <v>0</v>
      </c>
      <c r="J877" s="109"/>
    </row>
    <row r="878" spans="1:10" ht="18" hidden="1" customHeight="1">
      <c r="A878" s="1558"/>
      <c r="B878" s="425"/>
      <c r="C878" s="561"/>
      <c r="D878" s="561"/>
      <c r="E878" s="577"/>
      <c r="F878" s="69"/>
      <c r="G878" s="69"/>
      <c r="H878" s="178">
        <f t="shared" si="26"/>
        <v>0</v>
      </c>
      <c r="I878" s="178">
        <f t="shared" si="27"/>
        <v>0</v>
      </c>
      <c r="J878" s="109"/>
    </row>
    <row r="879" spans="1:10" ht="18" hidden="1" customHeight="1">
      <c r="A879" s="1558"/>
      <c r="B879" s="425"/>
      <c r="C879" s="561"/>
      <c r="D879" s="561"/>
      <c r="E879" s="577"/>
      <c r="F879" s="69"/>
      <c r="G879" s="69"/>
      <c r="H879" s="178">
        <f t="shared" si="26"/>
        <v>0</v>
      </c>
      <c r="I879" s="178">
        <f t="shared" si="27"/>
        <v>0</v>
      </c>
      <c r="J879" s="109"/>
    </row>
    <row r="880" spans="1:10" ht="18" hidden="1" customHeight="1">
      <c r="A880" s="1558"/>
      <c r="B880" s="425"/>
      <c r="C880" s="561"/>
      <c r="D880" s="561"/>
      <c r="E880" s="577"/>
      <c r="F880" s="69"/>
      <c r="G880" s="69"/>
      <c r="H880" s="178">
        <f t="shared" si="26"/>
        <v>0</v>
      </c>
      <c r="I880" s="178">
        <f t="shared" si="27"/>
        <v>0</v>
      </c>
      <c r="J880" s="109"/>
    </row>
    <row r="881" spans="1:10" ht="18" hidden="1" customHeight="1">
      <c r="A881" s="1558"/>
      <c r="B881" s="425"/>
      <c r="C881" s="561"/>
      <c r="D881" s="561"/>
      <c r="E881" s="577"/>
      <c r="F881" s="69"/>
      <c r="G881" s="69"/>
      <c r="H881" s="178">
        <f t="shared" si="26"/>
        <v>0</v>
      </c>
      <c r="I881" s="178">
        <f t="shared" si="27"/>
        <v>0</v>
      </c>
      <c r="J881" s="109"/>
    </row>
    <row r="882" spans="1:10" ht="18" hidden="1" customHeight="1">
      <c r="A882" s="1558"/>
      <c r="B882" s="425"/>
      <c r="C882" s="561"/>
      <c r="D882" s="561"/>
      <c r="E882" s="577"/>
      <c r="F882" s="69"/>
      <c r="G882" s="69"/>
      <c r="H882" s="178">
        <f t="shared" si="26"/>
        <v>0</v>
      </c>
      <c r="I882" s="178">
        <f t="shared" si="27"/>
        <v>0</v>
      </c>
      <c r="J882" s="109"/>
    </row>
    <row r="883" spans="1:10" ht="18" hidden="1" customHeight="1">
      <c r="A883" s="1558"/>
      <c r="B883" s="425"/>
      <c r="C883" s="561"/>
      <c r="D883" s="561"/>
      <c r="E883" s="577"/>
      <c r="F883" s="69"/>
      <c r="G883" s="69"/>
      <c r="H883" s="178">
        <f t="shared" si="26"/>
        <v>0</v>
      </c>
      <c r="I883" s="178">
        <f t="shared" si="27"/>
        <v>0</v>
      </c>
      <c r="J883" s="109"/>
    </row>
    <row r="884" spans="1:10" ht="18" hidden="1" customHeight="1">
      <c r="A884" s="1558"/>
      <c r="B884" s="425"/>
      <c r="C884" s="561"/>
      <c r="D884" s="561"/>
      <c r="E884" s="577"/>
      <c r="F884" s="69"/>
      <c r="G884" s="69"/>
      <c r="H884" s="178">
        <f t="shared" si="26"/>
        <v>0</v>
      </c>
      <c r="I884" s="178">
        <f t="shared" si="27"/>
        <v>0</v>
      </c>
      <c r="J884" s="109"/>
    </row>
    <row r="885" spans="1:10" ht="18" hidden="1" customHeight="1">
      <c r="A885" s="1558"/>
      <c r="B885" s="425"/>
      <c r="C885" s="561"/>
      <c r="D885" s="561"/>
      <c r="E885" s="577"/>
      <c r="F885" s="69"/>
      <c r="G885" s="69"/>
      <c r="H885" s="178">
        <f t="shared" si="26"/>
        <v>0</v>
      </c>
      <c r="I885" s="178">
        <f t="shared" si="27"/>
        <v>0</v>
      </c>
      <c r="J885" s="109"/>
    </row>
    <row r="886" spans="1:10" ht="18" hidden="1" customHeight="1">
      <c r="A886" s="1558"/>
      <c r="B886" s="425"/>
      <c r="C886" s="561"/>
      <c r="D886" s="561"/>
      <c r="E886" s="577"/>
      <c r="F886" s="69"/>
      <c r="G886" s="69"/>
      <c r="H886" s="178">
        <f t="shared" si="26"/>
        <v>0</v>
      </c>
      <c r="I886" s="178">
        <f t="shared" si="27"/>
        <v>0</v>
      </c>
      <c r="J886" s="109"/>
    </row>
    <row r="887" spans="1:10" ht="18" hidden="1" customHeight="1">
      <c r="A887" s="1558"/>
      <c r="B887" s="425"/>
      <c r="C887" s="561"/>
      <c r="D887" s="561"/>
      <c r="E887" s="577"/>
      <c r="F887" s="69"/>
      <c r="G887" s="69"/>
      <c r="H887" s="178">
        <f t="shared" si="26"/>
        <v>0</v>
      </c>
      <c r="I887" s="178">
        <f t="shared" si="27"/>
        <v>0</v>
      </c>
      <c r="J887" s="109"/>
    </row>
    <row r="888" spans="1:10" ht="18" hidden="1" customHeight="1">
      <c r="A888" s="1558"/>
      <c r="B888" s="425"/>
      <c r="C888" s="561"/>
      <c r="D888" s="561"/>
      <c r="E888" s="577"/>
      <c r="F888" s="69"/>
      <c r="G888" s="69"/>
      <c r="H888" s="178">
        <f t="shared" si="26"/>
        <v>0</v>
      </c>
      <c r="I888" s="178">
        <f t="shared" si="27"/>
        <v>0</v>
      </c>
      <c r="J888" s="109"/>
    </row>
    <row r="889" spans="1:10" ht="18" hidden="1" customHeight="1">
      <c r="A889" s="1558"/>
      <c r="B889" s="425"/>
      <c r="C889" s="561"/>
      <c r="D889" s="561"/>
      <c r="E889" s="577"/>
      <c r="F889" s="69"/>
      <c r="G889" s="69"/>
      <c r="H889" s="178">
        <f t="shared" si="26"/>
        <v>0</v>
      </c>
      <c r="I889" s="178">
        <f t="shared" si="27"/>
        <v>0</v>
      </c>
      <c r="J889" s="109"/>
    </row>
    <row r="890" spans="1:10" ht="18" hidden="1" customHeight="1">
      <c r="A890" s="1558"/>
      <c r="B890" s="425"/>
      <c r="C890" s="561"/>
      <c r="D890" s="561"/>
      <c r="E890" s="577"/>
      <c r="F890" s="69"/>
      <c r="G890" s="69"/>
      <c r="H890" s="178">
        <f t="shared" si="26"/>
        <v>0</v>
      </c>
      <c r="I890" s="178">
        <f t="shared" si="27"/>
        <v>0</v>
      </c>
      <c r="J890" s="109"/>
    </row>
    <row r="891" spans="1:10" ht="18" hidden="1" customHeight="1">
      <c r="A891" s="1558"/>
      <c r="B891" s="425"/>
      <c r="C891" s="561"/>
      <c r="D891" s="561"/>
      <c r="E891" s="577"/>
      <c r="F891" s="69"/>
      <c r="G891" s="69"/>
      <c r="H891" s="178">
        <f t="shared" si="26"/>
        <v>0</v>
      </c>
      <c r="I891" s="178">
        <f t="shared" si="27"/>
        <v>0</v>
      </c>
      <c r="J891" s="109"/>
    </row>
    <row r="892" spans="1:10" ht="18" hidden="1" customHeight="1">
      <c r="A892" s="1558"/>
      <c r="B892" s="425"/>
      <c r="C892" s="561"/>
      <c r="D892" s="561"/>
      <c r="E892" s="577"/>
      <c r="F892" s="69"/>
      <c r="G892" s="69"/>
      <c r="H892" s="178">
        <f t="shared" si="26"/>
        <v>0</v>
      </c>
      <c r="I892" s="178">
        <f t="shared" si="27"/>
        <v>0</v>
      </c>
      <c r="J892" s="109"/>
    </row>
    <row r="893" spans="1:10" ht="18" hidden="1" customHeight="1">
      <c r="A893" s="1558"/>
      <c r="B893" s="425"/>
      <c r="C893" s="561"/>
      <c r="D893" s="561"/>
      <c r="E893" s="577"/>
      <c r="F893" s="69"/>
      <c r="G893" s="69"/>
      <c r="H893" s="178">
        <f t="shared" si="26"/>
        <v>0</v>
      </c>
      <c r="I893" s="178">
        <f t="shared" si="27"/>
        <v>0</v>
      </c>
      <c r="J893" s="109"/>
    </row>
    <row r="894" spans="1:10" ht="18" hidden="1" customHeight="1">
      <c r="A894" s="1558"/>
      <c r="B894" s="425"/>
      <c r="C894" s="561"/>
      <c r="D894" s="561"/>
      <c r="E894" s="577"/>
      <c r="F894" s="69"/>
      <c r="G894" s="69"/>
      <c r="H894" s="178">
        <f t="shared" si="26"/>
        <v>0</v>
      </c>
      <c r="I894" s="178">
        <f t="shared" si="27"/>
        <v>0</v>
      </c>
      <c r="J894" s="109"/>
    </row>
    <row r="895" spans="1:10" ht="18" hidden="1" customHeight="1">
      <c r="A895" s="1558"/>
      <c r="B895" s="425"/>
      <c r="C895" s="561"/>
      <c r="D895" s="561"/>
      <c r="E895" s="577"/>
      <c r="F895" s="69"/>
      <c r="G895" s="69"/>
      <c r="H895" s="178">
        <f t="shared" si="26"/>
        <v>0</v>
      </c>
      <c r="I895" s="178">
        <f t="shared" si="27"/>
        <v>0</v>
      </c>
      <c r="J895" s="109"/>
    </row>
    <row r="896" spans="1:10" ht="18" hidden="1" customHeight="1">
      <c r="A896" s="1558"/>
      <c r="B896" s="425"/>
      <c r="C896" s="561"/>
      <c r="D896" s="561"/>
      <c r="E896" s="577"/>
      <c r="F896" s="69"/>
      <c r="G896" s="69"/>
      <c r="H896" s="178">
        <f t="shared" si="26"/>
        <v>0</v>
      </c>
      <c r="I896" s="178">
        <f t="shared" si="27"/>
        <v>0</v>
      </c>
      <c r="J896" s="109"/>
    </row>
    <row r="897" spans="1:10" ht="18" hidden="1" customHeight="1">
      <c r="A897" s="1558"/>
      <c r="B897" s="425"/>
      <c r="C897" s="561"/>
      <c r="D897" s="561"/>
      <c r="E897" s="577"/>
      <c r="F897" s="69"/>
      <c r="G897" s="69"/>
      <c r="H897" s="178">
        <f t="shared" si="26"/>
        <v>0</v>
      </c>
      <c r="I897" s="178">
        <f t="shared" si="27"/>
        <v>0</v>
      </c>
      <c r="J897" s="109"/>
    </row>
    <row r="898" spans="1:10" ht="18" hidden="1" customHeight="1">
      <c r="A898" s="1558"/>
      <c r="B898" s="425"/>
      <c r="C898" s="561"/>
      <c r="D898" s="561"/>
      <c r="E898" s="577"/>
      <c r="F898" s="69"/>
      <c r="G898" s="69"/>
      <c r="H898" s="178">
        <f t="shared" si="26"/>
        <v>0</v>
      </c>
      <c r="I898" s="178">
        <f t="shared" si="27"/>
        <v>0</v>
      </c>
      <c r="J898" s="109"/>
    </row>
    <row r="899" spans="1:10" ht="18" hidden="1" customHeight="1">
      <c r="A899" s="1558"/>
      <c r="B899" s="425"/>
      <c r="C899" s="561"/>
      <c r="D899" s="561"/>
      <c r="E899" s="577"/>
      <c r="F899" s="69"/>
      <c r="G899" s="69"/>
      <c r="H899" s="178">
        <f t="shared" si="26"/>
        <v>0</v>
      </c>
      <c r="I899" s="178">
        <f t="shared" si="27"/>
        <v>0</v>
      </c>
      <c r="J899" s="109"/>
    </row>
    <row r="900" spans="1:10" ht="18" hidden="1" customHeight="1">
      <c r="A900" s="1558"/>
      <c r="B900" s="425"/>
      <c r="C900" s="561"/>
      <c r="D900" s="561"/>
      <c r="E900" s="577"/>
      <c r="F900" s="69"/>
      <c r="G900" s="69"/>
      <c r="H900" s="178">
        <f t="shared" si="26"/>
        <v>0</v>
      </c>
      <c r="I900" s="178">
        <f t="shared" si="27"/>
        <v>0</v>
      </c>
      <c r="J900" s="109"/>
    </row>
    <row r="901" spans="1:10" ht="18" hidden="1" customHeight="1">
      <c r="A901" s="1558"/>
      <c r="B901" s="425"/>
      <c r="C901" s="561"/>
      <c r="D901" s="561"/>
      <c r="E901" s="577"/>
      <c r="F901" s="69"/>
      <c r="G901" s="69"/>
      <c r="H901" s="178">
        <f t="shared" si="26"/>
        <v>0</v>
      </c>
      <c r="I901" s="178">
        <f t="shared" si="27"/>
        <v>0</v>
      </c>
      <c r="J901" s="109"/>
    </row>
    <row r="902" spans="1:10" ht="18" hidden="1" customHeight="1">
      <c r="A902" s="1558"/>
      <c r="B902" s="425"/>
      <c r="C902" s="561"/>
      <c r="D902" s="561"/>
      <c r="E902" s="577"/>
      <c r="F902" s="69"/>
      <c r="G902" s="69"/>
      <c r="H902" s="178">
        <f t="shared" si="26"/>
        <v>0</v>
      </c>
      <c r="I902" s="178">
        <f t="shared" si="27"/>
        <v>0</v>
      </c>
      <c r="J902" s="109"/>
    </row>
    <row r="903" spans="1:10" ht="18" hidden="1" customHeight="1">
      <c r="A903" s="1558"/>
      <c r="B903" s="425"/>
      <c r="C903" s="561"/>
      <c r="D903" s="561"/>
      <c r="E903" s="577"/>
      <c r="F903" s="69"/>
      <c r="G903" s="69"/>
      <c r="H903" s="178">
        <f t="shared" si="26"/>
        <v>0</v>
      </c>
      <c r="I903" s="178">
        <f t="shared" si="27"/>
        <v>0</v>
      </c>
      <c r="J903" s="109"/>
    </row>
    <row r="904" spans="1:10" ht="18" hidden="1" customHeight="1">
      <c r="A904" s="1558"/>
      <c r="B904" s="425"/>
      <c r="C904" s="561"/>
      <c r="D904" s="561"/>
      <c r="E904" s="577"/>
      <c r="F904" s="69"/>
      <c r="G904" s="69"/>
      <c r="H904" s="178">
        <f t="shared" si="26"/>
        <v>0</v>
      </c>
      <c r="I904" s="178">
        <f t="shared" si="27"/>
        <v>0</v>
      </c>
      <c r="J904" s="109"/>
    </row>
    <row r="905" spans="1:10" ht="18" hidden="1" customHeight="1">
      <c r="A905" s="1558"/>
      <c r="B905" s="425"/>
      <c r="C905" s="561"/>
      <c r="D905" s="561"/>
      <c r="E905" s="577"/>
      <c r="F905" s="69"/>
      <c r="G905" s="69"/>
      <c r="H905" s="178">
        <f t="shared" ref="H905:H968" si="28">E905+D905-C905</f>
        <v>0</v>
      </c>
      <c r="I905" s="178">
        <f t="shared" ref="I905:I968" si="29">SUM(C905:E905)</f>
        <v>0</v>
      </c>
      <c r="J905" s="109"/>
    </row>
    <row r="906" spans="1:10" ht="18" hidden="1" customHeight="1">
      <c r="A906" s="1558"/>
      <c r="B906" s="425"/>
      <c r="C906" s="561"/>
      <c r="D906" s="561"/>
      <c r="E906" s="577"/>
      <c r="F906" s="69"/>
      <c r="G906" s="69"/>
      <c r="H906" s="178">
        <f t="shared" si="28"/>
        <v>0</v>
      </c>
      <c r="I906" s="178">
        <f t="shared" si="29"/>
        <v>0</v>
      </c>
      <c r="J906" s="109"/>
    </row>
    <row r="907" spans="1:10" ht="18" hidden="1" customHeight="1">
      <c r="A907" s="1558"/>
      <c r="B907" s="425"/>
      <c r="C907" s="561"/>
      <c r="D907" s="561"/>
      <c r="E907" s="577"/>
      <c r="F907" s="69"/>
      <c r="G907" s="69"/>
      <c r="H907" s="178">
        <f t="shared" si="28"/>
        <v>0</v>
      </c>
      <c r="I907" s="178">
        <f t="shared" si="29"/>
        <v>0</v>
      </c>
      <c r="J907" s="109"/>
    </row>
    <row r="908" spans="1:10" hidden="1">
      <c r="A908" s="1558"/>
      <c r="B908" s="209" t="s">
        <v>985</v>
      </c>
      <c r="C908" s="588">
        <f>SUM(C787:C907)</f>
        <v>0</v>
      </c>
      <c r="D908" s="588">
        <f>SUM(D787:D907)</f>
        <v>0</v>
      </c>
      <c r="E908" s="588">
        <f>SUM(E787:E907)</f>
        <v>0</v>
      </c>
      <c r="F908" s="115">
        <f>SUM(F787:F799)</f>
        <v>0</v>
      </c>
      <c r="G908" s="115">
        <f>SUM(G787:G799)</f>
        <v>161690.4</v>
      </c>
      <c r="H908" s="178">
        <f t="shared" si="28"/>
        <v>0</v>
      </c>
      <c r="I908" s="178">
        <f t="shared" si="29"/>
        <v>0</v>
      </c>
      <c r="J908" s="109"/>
    </row>
    <row r="909" spans="1:10" ht="170.45" hidden="1" customHeight="1">
      <c r="A909" s="1558" t="s">
        <v>82</v>
      </c>
      <c r="B909" s="107"/>
      <c r="C909" s="589"/>
      <c r="D909" s="589"/>
      <c r="E909" s="589"/>
      <c r="F909" s="178"/>
      <c r="G909" s="178"/>
      <c r="H909" s="178">
        <f t="shared" si="28"/>
        <v>0</v>
      </c>
      <c r="I909" s="178">
        <f t="shared" si="29"/>
        <v>0</v>
      </c>
      <c r="J909" s="109"/>
    </row>
    <row r="910" spans="1:10" hidden="1">
      <c r="A910" s="1558"/>
      <c r="B910" s="533"/>
      <c r="C910" s="587"/>
      <c r="D910" s="587"/>
      <c r="E910" s="587"/>
      <c r="F910" s="69"/>
      <c r="G910" s="69"/>
      <c r="H910" s="178">
        <f t="shared" si="28"/>
        <v>0</v>
      </c>
      <c r="I910" s="178">
        <f t="shared" si="29"/>
        <v>0</v>
      </c>
      <c r="J910" s="109"/>
    </row>
    <row r="911" spans="1:10" s="611" customFormat="1" hidden="1">
      <c r="A911" s="1558"/>
      <c r="B911" s="607"/>
      <c r="C911" s="608"/>
      <c r="D911" s="608"/>
      <c r="E911" s="608"/>
      <c r="F911" s="612"/>
      <c r="G911" s="612"/>
      <c r="H911" s="178">
        <f t="shared" si="28"/>
        <v>0</v>
      </c>
      <c r="I911" s="178">
        <f t="shared" si="29"/>
        <v>0</v>
      </c>
      <c r="J911" s="610"/>
    </row>
    <row r="912" spans="1:10" hidden="1">
      <c r="A912" s="1558"/>
      <c r="B912" s="425"/>
      <c r="C912" s="561"/>
      <c r="D912" s="561"/>
      <c r="E912" s="561"/>
      <c r="F912" s="69"/>
      <c r="G912" s="69"/>
      <c r="H912" s="178">
        <f t="shared" si="28"/>
        <v>0</v>
      </c>
      <c r="I912" s="178">
        <f t="shared" si="29"/>
        <v>0</v>
      </c>
      <c r="J912" s="109"/>
    </row>
    <row r="913" spans="1:10" hidden="1">
      <c r="A913" s="1558"/>
      <c r="B913" s="425"/>
      <c r="C913" s="561"/>
      <c r="D913" s="561"/>
      <c r="E913" s="561"/>
      <c r="F913" s="69"/>
      <c r="G913" s="69"/>
      <c r="H913" s="178">
        <f t="shared" si="28"/>
        <v>0</v>
      </c>
      <c r="I913" s="178">
        <f t="shared" si="29"/>
        <v>0</v>
      </c>
      <c r="J913" s="109"/>
    </row>
    <row r="914" spans="1:10" hidden="1">
      <c r="A914" s="1558"/>
      <c r="B914" s="425"/>
      <c r="C914" s="493"/>
      <c r="D914" s="561"/>
      <c r="E914" s="561"/>
      <c r="F914" s="69"/>
      <c r="G914" s="69"/>
      <c r="H914" s="178">
        <f t="shared" si="28"/>
        <v>0</v>
      </c>
      <c r="I914" s="178">
        <f t="shared" si="29"/>
        <v>0</v>
      </c>
      <c r="J914" s="109"/>
    </row>
    <row r="915" spans="1:10" hidden="1">
      <c r="A915" s="1558"/>
      <c r="B915" s="425"/>
      <c r="C915" s="493"/>
      <c r="D915" s="493"/>
      <c r="E915" s="493"/>
      <c r="F915" s="69"/>
      <c r="G915" s="69"/>
      <c r="H915" s="178">
        <f t="shared" si="28"/>
        <v>0</v>
      </c>
      <c r="I915" s="178">
        <f t="shared" si="29"/>
        <v>0</v>
      </c>
      <c r="J915" s="109"/>
    </row>
    <row r="916" spans="1:10" hidden="1">
      <c r="A916" s="1558"/>
      <c r="B916" s="425"/>
      <c r="C916" s="493"/>
      <c r="D916" s="493"/>
      <c r="E916" s="493"/>
      <c r="F916" s="69"/>
      <c r="G916" s="69"/>
      <c r="H916" s="178">
        <f t="shared" si="28"/>
        <v>0</v>
      </c>
      <c r="I916" s="178">
        <f t="shared" si="29"/>
        <v>0</v>
      </c>
      <c r="J916" s="109"/>
    </row>
    <row r="917" spans="1:10" hidden="1">
      <c r="A917" s="1558"/>
      <c r="B917" s="425"/>
      <c r="C917" s="561"/>
      <c r="D917" s="561"/>
      <c r="E917" s="493"/>
      <c r="F917" s="69"/>
      <c r="G917" s="69"/>
      <c r="H917" s="178">
        <f t="shared" si="28"/>
        <v>0</v>
      </c>
      <c r="I917" s="178">
        <f t="shared" si="29"/>
        <v>0</v>
      </c>
      <c r="J917" s="109"/>
    </row>
    <row r="918" spans="1:10" hidden="1">
      <c r="A918" s="1558"/>
      <c r="B918" s="425"/>
      <c r="C918" s="561"/>
      <c r="D918" s="561"/>
      <c r="E918" s="493"/>
      <c r="F918" s="69"/>
      <c r="G918" s="69"/>
      <c r="H918" s="178">
        <f t="shared" si="28"/>
        <v>0</v>
      </c>
      <c r="I918" s="178">
        <f t="shared" si="29"/>
        <v>0</v>
      </c>
      <c r="J918" s="109"/>
    </row>
    <row r="919" spans="1:10" hidden="1">
      <c r="A919" s="1558"/>
      <c r="B919" s="425"/>
      <c r="C919" s="561"/>
      <c r="D919" s="561"/>
      <c r="E919" s="493"/>
      <c r="F919" s="69"/>
      <c r="G919" s="69"/>
      <c r="H919" s="178">
        <f t="shared" si="28"/>
        <v>0</v>
      </c>
      <c r="I919" s="178">
        <f t="shared" si="29"/>
        <v>0</v>
      </c>
      <c r="J919" s="109"/>
    </row>
    <row r="920" spans="1:10" hidden="1">
      <c r="A920" s="1558"/>
      <c r="B920" s="425"/>
      <c r="C920" s="561"/>
      <c r="D920" s="561"/>
      <c r="E920" s="561"/>
      <c r="F920" s="69"/>
      <c r="G920" s="69"/>
      <c r="H920" s="178">
        <f t="shared" si="28"/>
        <v>0</v>
      </c>
      <c r="I920" s="178">
        <f t="shared" si="29"/>
        <v>0</v>
      </c>
      <c r="J920" s="109"/>
    </row>
    <row r="921" spans="1:10" hidden="1">
      <c r="A921" s="1558"/>
      <c r="B921" s="425"/>
      <c r="C921" s="561"/>
      <c r="D921" s="561"/>
      <c r="E921" s="493"/>
      <c r="F921" s="69"/>
      <c r="G921" s="69"/>
      <c r="H921" s="178">
        <f t="shared" si="28"/>
        <v>0</v>
      </c>
      <c r="I921" s="178">
        <f t="shared" si="29"/>
        <v>0</v>
      </c>
      <c r="J921" s="109"/>
    </row>
    <row r="922" spans="1:10" hidden="1">
      <c r="A922" s="1558"/>
      <c r="B922" s="425"/>
      <c r="C922" s="493"/>
      <c r="D922" s="493"/>
      <c r="E922" s="493"/>
      <c r="F922" s="69"/>
      <c r="G922" s="69"/>
      <c r="H922" s="178">
        <f t="shared" si="28"/>
        <v>0</v>
      </c>
      <c r="I922" s="178">
        <f t="shared" si="29"/>
        <v>0</v>
      </c>
      <c r="J922" s="109"/>
    </row>
    <row r="923" spans="1:10" hidden="1">
      <c r="A923" s="1558"/>
      <c r="B923" s="425"/>
      <c r="C923" s="493"/>
      <c r="D923" s="493"/>
      <c r="E923" s="493"/>
      <c r="F923" s="69"/>
      <c r="G923" s="69"/>
      <c r="H923" s="178">
        <f t="shared" si="28"/>
        <v>0</v>
      </c>
      <c r="I923" s="178">
        <f t="shared" si="29"/>
        <v>0</v>
      </c>
      <c r="J923" s="109"/>
    </row>
    <row r="924" spans="1:10" hidden="1">
      <c r="A924" s="1558"/>
      <c r="B924" s="425"/>
      <c r="C924" s="493"/>
      <c r="D924" s="493"/>
      <c r="E924" s="493"/>
      <c r="F924" s="69"/>
      <c r="G924" s="69"/>
      <c r="H924" s="178">
        <f t="shared" si="28"/>
        <v>0</v>
      </c>
      <c r="I924" s="178">
        <f t="shared" si="29"/>
        <v>0</v>
      </c>
      <c r="J924" s="109"/>
    </row>
    <row r="925" spans="1:10" hidden="1">
      <c r="A925" s="1558"/>
      <c r="B925" s="425"/>
      <c r="C925" s="493"/>
      <c r="D925" s="493"/>
      <c r="E925" s="493"/>
      <c r="F925" s="69"/>
      <c r="G925" s="69"/>
      <c r="H925" s="178">
        <f t="shared" si="28"/>
        <v>0</v>
      </c>
      <c r="I925" s="178">
        <f t="shared" si="29"/>
        <v>0</v>
      </c>
      <c r="J925" s="109"/>
    </row>
    <row r="926" spans="1:10" hidden="1">
      <c r="A926" s="1558"/>
      <c r="B926" s="425"/>
      <c r="C926" s="493"/>
      <c r="D926" s="493"/>
      <c r="E926" s="493"/>
      <c r="F926" s="69"/>
      <c r="G926" s="69"/>
      <c r="H926" s="178">
        <f t="shared" si="28"/>
        <v>0</v>
      </c>
      <c r="I926" s="178">
        <f t="shared" si="29"/>
        <v>0</v>
      </c>
      <c r="J926" s="109"/>
    </row>
    <row r="927" spans="1:10" hidden="1">
      <c r="A927" s="1558"/>
      <c r="B927" s="425"/>
      <c r="C927" s="493"/>
      <c r="D927" s="493"/>
      <c r="E927" s="493"/>
      <c r="F927" s="69"/>
      <c r="G927" s="69"/>
      <c r="H927" s="178">
        <f t="shared" si="28"/>
        <v>0</v>
      </c>
      <c r="I927" s="178">
        <f t="shared" si="29"/>
        <v>0</v>
      </c>
      <c r="J927" s="109"/>
    </row>
    <row r="928" spans="1:10" hidden="1">
      <c r="A928" s="1558"/>
      <c r="B928" s="427"/>
      <c r="C928" s="575"/>
      <c r="D928" s="575"/>
      <c r="E928" s="576"/>
      <c r="F928" s="69"/>
      <c r="G928" s="69"/>
      <c r="H928" s="178">
        <f t="shared" si="28"/>
        <v>0</v>
      </c>
      <c r="I928" s="178">
        <f t="shared" si="29"/>
        <v>0</v>
      </c>
      <c r="J928" s="109"/>
    </row>
    <row r="929" spans="1:10" hidden="1">
      <c r="A929" s="1558"/>
      <c r="B929" s="427"/>
      <c r="C929" s="575"/>
      <c r="D929" s="575"/>
      <c r="E929" s="576"/>
      <c r="F929" s="69"/>
      <c r="G929" s="69"/>
      <c r="H929" s="178">
        <f t="shared" si="28"/>
        <v>0</v>
      </c>
      <c r="I929" s="178">
        <f t="shared" si="29"/>
        <v>0</v>
      </c>
      <c r="J929" s="109"/>
    </row>
    <row r="930" spans="1:10" hidden="1">
      <c r="A930" s="1558"/>
      <c r="B930" s="427"/>
      <c r="C930" s="575"/>
      <c r="D930" s="575"/>
      <c r="E930" s="576"/>
      <c r="F930" s="69"/>
      <c r="G930" s="69"/>
      <c r="H930" s="178">
        <f t="shared" si="28"/>
        <v>0</v>
      </c>
      <c r="I930" s="178">
        <f t="shared" si="29"/>
        <v>0</v>
      </c>
      <c r="J930" s="109"/>
    </row>
    <row r="931" spans="1:10" hidden="1">
      <c r="A931" s="1558"/>
      <c r="B931" s="427"/>
      <c r="C931" s="575"/>
      <c r="D931" s="575"/>
      <c r="E931" s="576"/>
      <c r="F931" s="69"/>
      <c r="G931" s="69"/>
      <c r="H931" s="178">
        <f t="shared" si="28"/>
        <v>0</v>
      </c>
      <c r="I931" s="178">
        <f t="shared" si="29"/>
        <v>0</v>
      </c>
      <c r="J931" s="109"/>
    </row>
    <row r="932" spans="1:10" hidden="1">
      <c r="A932" s="1558"/>
      <c r="B932" s="427"/>
      <c r="C932" s="575"/>
      <c r="D932" s="575"/>
      <c r="E932" s="576"/>
      <c r="F932" s="69"/>
      <c r="G932" s="69"/>
      <c r="H932" s="178">
        <f t="shared" si="28"/>
        <v>0</v>
      </c>
      <c r="I932" s="178">
        <f t="shared" si="29"/>
        <v>0</v>
      </c>
      <c r="J932" s="109"/>
    </row>
    <row r="933" spans="1:10" hidden="1">
      <c r="A933" s="1558"/>
      <c r="B933" s="427"/>
      <c r="C933" s="575"/>
      <c r="D933" s="575"/>
      <c r="E933" s="576"/>
      <c r="F933" s="69"/>
      <c r="G933" s="69"/>
      <c r="H933" s="178">
        <f t="shared" si="28"/>
        <v>0</v>
      </c>
      <c r="I933" s="178">
        <f t="shared" si="29"/>
        <v>0</v>
      </c>
      <c r="J933" s="109"/>
    </row>
    <row r="934" spans="1:10" hidden="1">
      <c r="A934" s="1558"/>
      <c r="B934" s="425"/>
      <c r="C934" s="578"/>
      <c r="D934" s="578"/>
      <c r="E934" s="580"/>
      <c r="F934" s="69"/>
      <c r="G934" s="69"/>
      <c r="H934" s="178">
        <f t="shared" si="28"/>
        <v>0</v>
      </c>
      <c r="I934" s="178">
        <f t="shared" si="29"/>
        <v>0</v>
      </c>
      <c r="J934" s="109"/>
    </row>
    <row r="935" spans="1:10" hidden="1">
      <c r="A935" s="1558"/>
      <c r="B935" s="425"/>
      <c r="C935" s="561"/>
      <c r="D935" s="561"/>
      <c r="E935" s="561"/>
      <c r="F935" s="69"/>
      <c r="G935" s="69"/>
      <c r="H935" s="178">
        <f t="shared" si="28"/>
        <v>0</v>
      </c>
      <c r="I935" s="178">
        <f t="shared" si="29"/>
        <v>0</v>
      </c>
      <c r="J935" s="109"/>
    </row>
    <row r="936" spans="1:10" hidden="1">
      <c r="A936" s="1558"/>
      <c r="B936" s="425"/>
      <c r="C936" s="561"/>
      <c r="D936" s="561"/>
      <c r="E936" s="561"/>
      <c r="F936" s="69"/>
      <c r="G936" s="69"/>
      <c r="H936" s="178">
        <f t="shared" si="28"/>
        <v>0</v>
      </c>
      <c r="I936" s="178">
        <f t="shared" si="29"/>
        <v>0</v>
      </c>
      <c r="J936" s="109"/>
    </row>
    <row r="937" spans="1:10" hidden="1">
      <c r="A937" s="1558"/>
      <c r="B937" s="425"/>
      <c r="C937" s="561"/>
      <c r="D937" s="561"/>
      <c r="E937" s="561"/>
      <c r="F937" s="69"/>
      <c r="G937" s="69"/>
      <c r="H937" s="178">
        <f t="shared" si="28"/>
        <v>0</v>
      </c>
      <c r="I937" s="178">
        <f t="shared" si="29"/>
        <v>0</v>
      </c>
      <c r="J937" s="109"/>
    </row>
    <row r="938" spans="1:10" hidden="1">
      <c r="A938" s="1558"/>
      <c r="B938" s="425"/>
      <c r="C938" s="561"/>
      <c r="D938" s="561"/>
      <c r="E938" s="561"/>
      <c r="F938" s="69"/>
      <c r="G938" s="69"/>
      <c r="H938" s="178">
        <f t="shared" si="28"/>
        <v>0</v>
      </c>
      <c r="I938" s="178">
        <f t="shared" si="29"/>
        <v>0</v>
      </c>
      <c r="J938" s="109"/>
    </row>
    <row r="939" spans="1:10" hidden="1">
      <c r="A939" s="1558"/>
      <c r="B939" s="425"/>
      <c r="C939" s="561"/>
      <c r="D939" s="561"/>
      <c r="E939" s="561"/>
      <c r="F939" s="69"/>
      <c r="G939" s="69"/>
      <c r="H939" s="178">
        <f t="shared" si="28"/>
        <v>0</v>
      </c>
      <c r="I939" s="178">
        <f t="shared" si="29"/>
        <v>0</v>
      </c>
      <c r="J939" s="109"/>
    </row>
    <row r="940" spans="1:10" hidden="1">
      <c r="A940" s="1558"/>
      <c r="B940" s="425"/>
      <c r="C940" s="561"/>
      <c r="D940" s="561"/>
      <c r="E940" s="561"/>
      <c r="F940" s="69"/>
      <c r="G940" s="69"/>
      <c r="H940" s="178">
        <f t="shared" si="28"/>
        <v>0</v>
      </c>
      <c r="I940" s="178">
        <f t="shared" si="29"/>
        <v>0</v>
      </c>
      <c r="J940" s="109"/>
    </row>
    <row r="941" spans="1:10" hidden="1">
      <c r="A941" s="1558"/>
      <c r="B941" s="425"/>
      <c r="C941" s="561"/>
      <c r="D941" s="561"/>
      <c r="E941" s="561"/>
      <c r="F941" s="69"/>
      <c r="G941" s="69"/>
      <c r="H941" s="178">
        <f t="shared" si="28"/>
        <v>0</v>
      </c>
      <c r="I941" s="178">
        <f t="shared" si="29"/>
        <v>0</v>
      </c>
      <c r="J941" s="109"/>
    </row>
    <row r="942" spans="1:10" hidden="1">
      <c r="A942" s="1558"/>
      <c r="B942" s="425"/>
      <c r="C942" s="561"/>
      <c r="D942" s="561"/>
      <c r="E942" s="561"/>
      <c r="F942" s="69"/>
      <c r="G942" s="69"/>
      <c r="H942" s="178">
        <f t="shared" si="28"/>
        <v>0</v>
      </c>
      <c r="I942" s="178">
        <f t="shared" si="29"/>
        <v>0</v>
      </c>
      <c r="J942" s="109"/>
    </row>
    <row r="943" spans="1:10" hidden="1">
      <c r="A943" s="1558"/>
      <c r="B943" s="209" t="s">
        <v>985</v>
      </c>
      <c r="C943" s="581">
        <f>SUM(C909:C942)</f>
        <v>0</v>
      </c>
      <c r="D943" s="581">
        <f>SUM(D909:D942)</f>
        <v>0</v>
      </c>
      <c r="E943" s="581">
        <f>SUM(E909:E942)</f>
        <v>0</v>
      </c>
      <c r="F943" s="115">
        <f>SUM(F909:F920)</f>
        <v>0</v>
      </c>
      <c r="G943" s="115">
        <f>SUM(G909:G920)</f>
        <v>0</v>
      </c>
      <c r="H943" s="178">
        <f t="shared" si="28"/>
        <v>0</v>
      </c>
      <c r="I943" s="178">
        <f t="shared" si="29"/>
        <v>0</v>
      </c>
      <c r="J943" s="109"/>
    </row>
    <row r="944" spans="1:10" hidden="1">
      <c r="A944" s="1558" t="s">
        <v>288</v>
      </c>
      <c r="B944" s="425"/>
      <c r="C944" s="561"/>
      <c r="D944" s="561"/>
      <c r="E944" s="561"/>
      <c r="F944" s="180"/>
      <c r="G944" s="180"/>
      <c r="H944" s="178">
        <f t="shared" si="28"/>
        <v>0</v>
      </c>
      <c r="I944" s="178">
        <f t="shared" si="29"/>
        <v>0</v>
      </c>
      <c r="J944" s="109"/>
    </row>
    <row r="945" spans="1:10" hidden="1">
      <c r="A945" s="1558"/>
      <c r="B945" s="425"/>
      <c r="C945" s="561"/>
      <c r="D945" s="561"/>
      <c r="E945" s="493"/>
      <c r="F945" s="69"/>
      <c r="G945" s="69"/>
      <c r="H945" s="178">
        <f t="shared" si="28"/>
        <v>0</v>
      </c>
      <c r="I945" s="178">
        <f t="shared" si="29"/>
        <v>0</v>
      </c>
      <c r="J945" s="109"/>
    </row>
    <row r="946" spans="1:10" hidden="1">
      <c r="A946" s="1558"/>
      <c r="B946" s="425"/>
      <c r="C946" s="561"/>
      <c r="D946" s="561"/>
      <c r="E946" s="493"/>
      <c r="F946" s="69"/>
      <c r="G946" s="69"/>
      <c r="H946" s="178">
        <f t="shared" si="28"/>
        <v>0</v>
      </c>
      <c r="I946" s="178">
        <f t="shared" si="29"/>
        <v>0</v>
      </c>
      <c r="J946" s="109"/>
    </row>
    <row r="947" spans="1:10" hidden="1">
      <c r="A947" s="1558"/>
      <c r="B947" s="425"/>
      <c r="C947" s="561"/>
      <c r="D947" s="561"/>
      <c r="E947" s="493"/>
      <c r="F947" s="69"/>
      <c r="G947" s="69"/>
      <c r="H947" s="178">
        <f t="shared" si="28"/>
        <v>0</v>
      </c>
      <c r="I947" s="178">
        <f t="shared" si="29"/>
        <v>0</v>
      </c>
      <c r="J947" s="109"/>
    </row>
    <row r="948" spans="1:10" hidden="1">
      <c r="A948" s="1558"/>
      <c r="B948" s="425"/>
      <c r="C948" s="561"/>
      <c r="D948" s="561"/>
      <c r="E948" s="493"/>
      <c r="F948" s="69"/>
      <c r="G948" s="69"/>
      <c r="H948" s="178">
        <f t="shared" si="28"/>
        <v>0</v>
      </c>
      <c r="I948" s="178">
        <f t="shared" si="29"/>
        <v>0</v>
      </c>
      <c r="J948" s="109"/>
    </row>
    <row r="949" spans="1:10" hidden="1">
      <c r="A949" s="1558"/>
      <c r="B949" s="425"/>
      <c r="C949" s="561"/>
      <c r="D949" s="561"/>
      <c r="E949" s="493"/>
      <c r="F949" s="69"/>
      <c r="G949" s="69"/>
      <c r="H949" s="178">
        <f t="shared" si="28"/>
        <v>0</v>
      </c>
      <c r="I949" s="178">
        <f t="shared" si="29"/>
        <v>0</v>
      </c>
      <c r="J949" s="109"/>
    </row>
    <row r="950" spans="1:10" hidden="1">
      <c r="A950" s="1558"/>
      <c r="B950" s="425"/>
      <c r="C950" s="561"/>
      <c r="D950" s="561"/>
      <c r="E950" s="493"/>
      <c r="F950" s="69"/>
      <c r="G950" s="69"/>
      <c r="H950" s="178">
        <f t="shared" si="28"/>
        <v>0</v>
      </c>
      <c r="I950" s="178">
        <f t="shared" si="29"/>
        <v>0</v>
      </c>
      <c r="J950" s="109"/>
    </row>
    <row r="951" spans="1:10" hidden="1">
      <c r="A951" s="1558"/>
      <c r="B951" s="425"/>
      <c r="C951" s="561"/>
      <c r="D951" s="561"/>
      <c r="E951" s="493"/>
      <c r="F951" s="69"/>
      <c r="G951" s="69"/>
      <c r="H951" s="178">
        <f t="shared" si="28"/>
        <v>0</v>
      </c>
      <c r="I951" s="178">
        <f t="shared" si="29"/>
        <v>0</v>
      </c>
      <c r="J951" s="109"/>
    </row>
    <row r="952" spans="1:10" hidden="1">
      <c r="A952" s="1558"/>
      <c r="B952" s="425"/>
      <c r="C952" s="561"/>
      <c r="D952" s="561"/>
      <c r="E952" s="493"/>
      <c r="F952" s="69"/>
      <c r="G952" s="69"/>
      <c r="H952" s="178">
        <f t="shared" si="28"/>
        <v>0</v>
      </c>
      <c r="I952" s="178">
        <f t="shared" si="29"/>
        <v>0</v>
      </c>
      <c r="J952" s="109"/>
    </row>
    <row r="953" spans="1:10" hidden="1">
      <c r="A953" s="1558"/>
      <c r="B953" s="425"/>
      <c r="C953" s="561"/>
      <c r="D953" s="561"/>
      <c r="E953" s="493"/>
      <c r="F953" s="69"/>
      <c r="G953" s="69"/>
      <c r="H953" s="178">
        <f t="shared" si="28"/>
        <v>0</v>
      </c>
      <c r="I953" s="178">
        <f t="shared" si="29"/>
        <v>0</v>
      </c>
      <c r="J953" s="109"/>
    </row>
    <row r="954" spans="1:10" hidden="1">
      <c r="A954" s="1558"/>
      <c r="B954" s="425"/>
      <c r="C954" s="561"/>
      <c r="D954" s="561"/>
      <c r="E954" s="493"/>
      <c r="F954" s="69"/>
      <c r="G954" s="69"/>
      <c r="H954" s="178">
        <f t="shared" si="28"/>
        <v>0</v>
      </c>
      <c r="I954" s="178">
        <f t="shared" si="29"/>
        <v>0</v>
      </c>
      <c r="J954" s="109"/>
    </row>
    <row r="955" spans="1:10" hidden="1">
      <c r="A955" s="1558"/>
      <c r="B955" s="425"/>
      <c r="C955" s="561"/>
      <c r="D955" s="561"/>
      <c r="E955" s="493"/>
      <c r="F955" s="69"/>
      <c r="G955" s="69"/>
      <c r="H955" s="178">
        <f t="shared" si="28"/>
        <v>0</v>
      </c>
      <c r="I955" s="178">
        <f t="shared" si="29"/>
        <v>0</v>
      </c>
      <c r="J955" s="109"/>
    </row>
    <row r="956" spans="1:10" hidden="1">
      <c r="A956" s="1558"/>
      <c r="B956" s="425"/>
      <c r="C956" s="561"/>
      <c r="D956" s="561"/>
      <c r="E956" s="493"/>
      <c r="F956" s="69"/>
      <c r="G956" s="69"/>
      <c r="H956" s="178">
        <f t="shared" si="28"/>
        <v>0</v>
      </c>
      <c r="I956" s="178">
        <f t="shared" si="29"/>
        <v>0</v>
      </c>
      <c r="J956" s="109"/>
    </row>
    <row r="957" spans="1:10" hidden="1">
      <c r="A957" s="1558"/>
      <c r="B957" s="425"/>
      <c r="C957" s="561"/>
      <c r="D957" s="561"/>
      <c r="E957" s="493"/>
      <c r="F957" s="69"/>
      <c r="G957" s="69"/>
      <c r="H957" s="178">
        <f t="shared" si="28"/>
        <v>0</v>
      </c>
      <c r="I957" s="178">
        <f t="shared" si="29"/>
        <v>0</v>
      </c>
      <c r="J957" s="109"/>
    </row>
    <row r="958" spans="1:10" hidden="1">
      <c r="A958" s="1558"/>
      <c r="B958" s="425"/>
      <c r="C958" s="561"/>
      <c r="D958" s="561"/>
      <c r="E958" s="493"/>
      <c r="F958" s="69"/>
      <c r="G958" s="69"/>
      <c r="H958" s="178">
        <f t="shared" si="28"/>
        <v>0</v>
      </c>
      <c r="I958" s="178">
        <f t="shared" si="29"/>
        <v>0</v>
      </c>
      <c r="J958" s="109"/>
    </row>
    <row r="959" spans="1:10" hidden="1">
      <c r="A959" s="1558"/>
      <c r="B959" s="425"/>
      <c r="C959" s="561"/>
      <c r="D959" s="561"/>
      <c r="E959" s="493"/>
      <c r="F959" s="69"/>
      <c r="G959" s="69"/>
      <c r="H959" s="178">
        <f t="shared" si="28"/>
        <v>0</v>
      </c>
      <c r="I959" s="178">
        <f t="shared" si="29"/>
        <v>0</v>
      </c>
      <c r="J959" s="109"/>
    </row>
    <row r="960" spans="1:10" hidden="1">
      <c r="A960" s="1558"/>
      <c r="B960" s="425"/>
      <c r="C960" s="561"/>
      <c r="D960" s="561"/>
      <c r="E960" s="493"/>
      <c r="F960" s="69"/>
      <c r="G960" s="69"/>
      <c r="H960" s="178">
        <f t="shared" si="28"/>
        <v>0</v>
      </c>
      <c r="I960" s="178">
        <f t="shared" si="29"/>
        <v>0</v>
      </c>
      <c r="J960" s="109"/>
    </row>
    <row r="961" spans="1:10" hidden="1">
      <c r="A961" s="1558"/>
      <c r="B961" s="425"/>
      <c r="C961" s="561"/>
      <c r="D961" s="561"/>
      <c r="E961" s="493"/>
      <c r="F961" s="69"/>
      <c r="G961" s="69"/>
      <c r="H961" s="178">
        <f t="shared" si="28"/>
        <v>0</v>
      </c>
      <c r="I961" s="178">
        <f t="shared" si="29"/>
        <v>0</v>
      </c>
      <c r="J961" s="109"/>
    </row>
    <row r="962" spans="1:10" hidden="1">
      <c r="A962" s="1558"/>
      <c r="B962" s="425"/>
      <c r="C962" s="561"/>
      <c r="D962" s="561"/>
      <c r="E962" s="493"/>
      <c r="F962" s="69"/>
      <c r="G962" s="69"/>
      <c r="H962" s="178">
        <f t="shared" si="28"/>
        <v>0</v>
      </c>
      <c r="I962" s="178">
        <f t="shared" si="29"/>
        <v>0</v>
      </c>
      <c r="J962" s="109"/>
    </row>
    <row r="963" spans="1:10" hidden="1">
      <c r="A963" s="1558"/>
      <c r="B963" s="425"/>
      <c r="C963" s="561"/>
      <c r="D963" s="561"/>
      <c r="E963" s="493"/>
      <c r="F963" s="69"/>
      <c r="G963" s="69"/>
      <c r="H963" s="178">
        <f t="shared" si="28"/>
        <v>0</v>
      </c>
      <c r="I963" s="178">
        <f t="shared" si="29"/>
        <v>0</v>
      </c>
      <c r="J963" s="109"/>
    </row>
    <row r="964" spans="1:10" hidden="1">
      <c r="A964" s="1558"/>
      <c r="B964" s="425"/>
      <c r="C964" s="561"/>
      <c r="D964" s="561"/>
      <c r="E964" s="493"/>
      <c r="F964" s="69"/>
      <c r="G964" s="69"/>
      <c r="H964" s="178">
        <f t="shared" si="28"/>
        <v>0</v>
      </c>
      <c r="I964" s="178">
        <f t="shared" si="29"/>
        <v>0</v>
      </c>
      <c r="J964" s="109"/>
    </row>
    <row r="965" spans="1:10" hidden="1">
      <c r="A965" s="1558"/>
      <c r="B965" s="425"/>
      <c r="C965" s="561"/>
      <c r="D965" s="561"/>
      <c r="E965" s="493"/>
      <c r="F965" s="69"/>
      <c r="G965" s="69"/>
      <c r="H965" s="178">
        <f t="shared" si="28"/>
        <v>0</v>
      </c>
      <c r="I965" s="178">
        <f t="shared" si="29"/>
        <v>0</v>
      </c>
      <c r="J965" s="109"/>
    </row>
    <row r="966" spans="1:10" hidden="1">
      <c r="A966" s="1558"/>
      <c r="B966" s="425"/>
      <c r="C966" s="561"/>
      <c r="D966" s="561"/>
      <c r="E966" s="493"/>
      <c r="F966" s="69"/>
      <c r="G966" s="69"/>
      <c r="H966" s="178">
        <f t="shared" si="28"/>
        <v>0</v>
      </c>
      <c r="I966" s="178">
        <f t="shared" si="29"/>
        <v>0</v>
      </c>
      <c r="J966" s="109"/>
    </row>
    <row r="967" spans="1:10" hidden="1">
      <c r="A967" s="1558"/>
      <c r="B967" s="425"/>
      <c r="C967" s="493"/>
      <c r="D967" s="493"/>
      <c r="E967" s="493"/>
      <c r="F967" s="69"/>
      <c r="G967" s="69"/>
      <c r="H967" s="178">
        <f t="shared" si="28"/>
        <v>0</v>
      </c>
      <c r="I967" s="178">
        <f t="shared" si="29"/>
        <v>0</v>
      </c>
      <c r="J967" s="109"/>
    </row>
    <row r="968" spans="1:10" hidden="1">
      <c r="A968" s="1558"/>
      <c r="B968" s="425"/>
      <c r="C968" s="493"/>
      <c r="D968" s="493"/>
      <c r="E968" s="493"/>
      <c r="F968" s="69"/>
      <c r="G968" s="69"/>
      <c r="H968" s="178">
        <f t="shared" si="28"/>
        <v>0</v>
      </c>
      <c r="I968" s="178">
        <f t="shared" si="29"/>
        <v>0</v>
      </c>
      <c r="J968" s="109"/>
    </row>
    <row r="969" spans="1:10" hidden="1">
      <c r="A969" s="1558"/>
      <c r="B969" s="425"/>
      <c r="C969" s="493"/>
      <c r="D969" s="493"/>
      <c r="E969" s="493"/>
      <c r="F969" s="69"/>
      <c r="G969" s="69"/>
      <c r="H969" s="178">
        <f t="shared" ref="H969:H1032" si="30">E969+D969-C969</f>
        <v>0</v>
      </c>
      <c r="I969" s="178">
        <f t="shared" ref="I969:I1032" si="31">SUM(C969:E969)</f>
        <v>0</v>
      </c>
      <c r="J969" s="109"/>
    </row>
    <row r="970" spans="1:10" hidden="1">
      <c r="A970" s="1558"/>
      <c r="B970" s="425"/>
      <c r="C970" s="493"/>
      <c r="D970" s="493"/>
      <c r="E970" s="493"/>
      <c r="F970" s="69"/>
      <c r="G970" s="69"/>
      <c r="H970" s="178">
        <f t="shared" si="30"/>
        <v>0</v>
      </c>
      <c r="I970" s="178">
        <f t="shared" si="31"/>
        <v>0</v>
      </c>
      <c r="J970" s="109"/>
    </row>
    <row r="971" spans="1:10" hidden="1">
      <c r="A971" s="1558"/>
      <c r="B971" s="425"/>
      <c r="C971" s="493"/>
      <c r="D971" s="493"/>
      <c r="E971" s="493"/>
      <c r="F971" s="69"/>
      <c r="G971" s="69"/>
      <c r="H971" s="178">
        <f t="shared" si="30"/>
        <v>0</v>
      </c>
      <c r="I971" s="178">
        <f t="shared" si="31"/>
        <v>0</v>
      </c>
      <c r="J971" s="109"/>
    </row>
    <row r="972" spans="1:10" hidden="1">
      <c r="A972" s="1558"/>
      <c r="B972" s="425"/>
      <c r="C972" s="493"/>
      <c r="D972" s="493"/>
      <c r="E972" s="493"/>
      <c r="F972" s="69"/>
      <c r="G972" s="69"/>
      <c r="H972" s="178">
        <f t="shared" si="30"/>
        <v>0</v>
      </c>
      <c r="I972" s="178">
        <f t="shared" si="31"/>
        <v>0</v>
      </c>
      <c r="J972" s="109"/>
    </row>
    <row r="973" spans="1:10" hidden="1">
      <c r="A973" s="1558"/>
      <c r="B973" s="425"/>
      <c r="C973" s="493"/>
      <c r="D973" s="493"/>
      <c r="E973" s="493"/>
      <c r="F973" s="69"/>
      <c r="G973" s="69"/>
      <c r="H973" s="178">
        <f t="shared" si="30"/>
        <v>0</v>
      </c>
      <c r="I973" s="178">
        <f t="shared" si="31"/>
        <v>0</v>
      </c>
      <c r="J973" s="109"/>
    </row>
    <row r="974" spans="1:10" hidden="1">
      <c r="A974" s="1558"/>
      <c r="B974" s="425"/>
      <c r="C974" s="493"/>
      <c r="D974" s="493"/>
      <c r="E974" s="493"/>
      <c r="F974" s="69"/>
      <c r="G974" s="69"/>
      <c r="H974" s="178">
        <f t="shared" si="30"/>
        <v>0</v>
      </c>
      <c r="I974" s="178">
        <f t="shared" si="31"/>
        <v>0</v>
      </c>
      <c r="J974" s="109"/>
    </row>
    <row r="975" spans="1:10" hidden="1">
      <c r="A975" s="1558"/>
      <c r="B975" s="425"/>
      <c r="C975" s="493"/>
      <c r="D975" s="493"/>
      <c r="E975" s="493"/>
      <c r="F975" s="69"/>
      <c r="G975" s="69"/>
      <c r="H975" s="178">
        <f t="shared" si="30"/>
        <v>0</v>
      </c>
      <c r="I975" s="178">
        <f t="shared" si="31"/>
        <v>0</v>
      </c>
      <c r="J975" s="109"/>
    </row>
    <row r="976" spans="1:10" hidden="1">
      <c r="A976" s="1558"/>
      <c r="B976" s="425"/>
      <c r="C976" s="493"/>
      <c r="D976" s="493"/>
      <c r="E976" s="493"/>
      <c r="F976" s="69"/>
      <c r="G976" s="69"/>
      <c r="H976" s="178">
        <f t="shared" si="30"/>
        <v>0</v>
      </c>
      <c r="I976" s="178">
        <f t="shared" si="31"/>
        <v>0</v>
      </c>
      <c r="J976" s="109"/>
    </row>
    <row r="977" spans="1:10" hidden="1">
      <c r="A977" s="1558"/>
      <c r="B977" s="425"/>
      <c r="C977" s="493"/>
      <c r="D977" s="493"/>
      <c r="E977" s="493"/>
      <c r="F977" s="69"/>
      <c r="G977" s="69"/>
      <c r="H977" s="178">
        <f t="shared" si="30"/>
        <v>0</v>
      </c>
      <c r="I977" s="178">
        <f t="shared" si="31"/>
        <v>0</v>
      </c>
      <c r="J977" s="109"/>
    </row>
    <row r="978" spans="1:10" hidden="1">
      <c r="A978" s="1558"/>
      <c r="B978" s="425"/>
      <c r="C978" s="561"/>
      <c r="D978" s="561"/>
      <c r="E978" s="493"/>
      <c r="F978" s="69"/>
      <c r="G978" s="69"/>
      <c r="H978" s="178">
        <f t="shared" si="30"/>
        <v>0</v>
      </c>
      <c r="I978" s="178">
        <f t="shared" si="31"/>
        <v>0</v>
      </c>
      <c r="J978" s="109"/>
    </row>
    <row r="979" spans="1:10" hidden="1">
      <c r="A979" s="1558"/>
      <c r="B979" s="425"/>
      <c r="C979" s="561"/>
      <c r="D979" s="561"/>
      <c r="E979" s="493"/>
      <c r="F979" s="69"/>
      <c r="G979" s="69"/>
      <c r="H979" s="178">
        <f t="shared" si="30"/>
        <v>0</v>
      </c>
      <c r="I979" s="178">
        <f t="shared" si="31"/>
        <v>0</v>
      </c>
      <c r="J979" s="109"/>
    </row>
    <row r="980" spans="1:10" hidden="1">
      <c r="A980" s="1558"/>
      <c r="B980" s="425"/>
      <c r="C980" s="561"/>
      <c r="D980" s="561"/>
      <c r="E980" s="493"/>
      <c r="F980" s="69"/>
      <c r="G980" s="69"/>
      <c r="H980" s="178">
        <f t="shared" si="30"/>
        <v>0</v>
      </c>
      <c r="I980" s="178">
        <f t="shared" si="31"/>
        <v>0</v>
      </c>
      <c r="J980" s="109"/>
    </row>
    <row r="981" spans="1:10" hidden="1">
      <c r="A981" s="1558"/>
      <c r="B981" s="425"/>
      <c r="C981" s="561"/>
      <c r="D981" s="561"/>
      <c r="E981" s="493"/>
      <c r="F981" s="69"/>
      <c r="G981" s="69"/>
      <c r="H981" s="178">
        <f t="shared" si="30"/>
        <v>0</v>
      </c>
      <c r="I981" s="178">
        <f t="shared" si="31"/>
        <v>0</v>
      </c>
      <c r="J981" s="109"/>
    </row>
    <row r="982" spans="1:10" hidden="1">
      <c r="A982" s="1558"/>
      <c r="B982" s="425"/>
      <c r="C982" s="561"/>
      <c r="D982" s="561"/>
      <c r="E982" s="493"/>
      <c r="F982" s="69"/>
      <c r="G982" s="69"/>
      <c r="H982" s="178">
        <f t="shared" si="30"/>
        <v>0</v>
      </c>
      <c r="I982" s="178">
        <f t="shared" si="31"/>
        <v>0</v>
      </c>
      <c r="J982" s="109"/>
    </row>
    <row r="983" spans="1:10" hidden="1">
      <c r="A983" s="1558"/>
      <c r="B983" s="425"/>
      <c r="C983" s="561"/>
      <c r="D983" s="561"/>
      <c r="E983" s="577"/>
      <c r="F983" s="69"/>
      <c r="G983" s="69"/>
      <c r="H983" s="178">
        <f t="shared" si="30"/>
        <v>0</v>
      </c>
      <c r="I983" s="178">
        <f t="shared" si="31"/>
        <v>0</v>
      </c>
      <c r="J983" s="109"/>
    </row>
    <row r="984" spans="1:10" hidden="1">
      <c r="A984" s="1558"/>
      <c r="B984" s="425"/>
      <c r="C984" s="561"/>
      <c r="D984" s="561"/>
      <c r="E984" s="577"/>
      <c r="F984" s="69"/>
      <c r="G984" s="69"/>
      <c r="H984" s="178">
        <f t="shared" si="30"/>
        <v>0</v>
      </c>
      <c r="I984" s="178">
        <f t="shared" si="31"/>
        <v>0</v>
      </c>
      <c r="J984" s="109"/>
    </row>
    <row r="985" spans="1:10" hidden="1">
      <c r="A985" s="1558"/>
      <c r="B985" s="425"/>
      <c r="C985" s="561"/>
      <c r="D985" s="561"/>
      <c r="E985" s="577"/>
      <c r="F985" s="69"/>
      <c r="G985" s="69"/>
      <c r="H985" s="178">
        <f t="shared" si="30"/>
        <v>0</v>
      </c>
      <c r="I985" s="178">
        <f t="shared" si="31"/>
        <v>0</v>
      </c>
      <c r="J985" s="109"/>
    </row>
    <row r="986" spans="1:10" hidden="1">
      <c r="A986" s="1558"/>
      <c r="B986" s="425"/>
      <c r="C986" s="561"/>
      <c r="D986" s="561"/>
      <c r="E986" s="577"/>
      <c r="F986" s="69"/>
      <c r="G986" s="69"/>
      <c r="H986" s="178">
        <f t="shared" si="30"/>
        <v>0</v>
      </c>
      <c r="I986" s="178">
        <f t="shared" si="31"/>
        <v>0</v>
      </c>
      <c r="J986" s="109"/>
    </row>
    <row r="987" spans="1:10" hidden="1">
      <c r="A987" s="1558"/>
      <c r="B987" s="425"/>
      <c r="C987" s="561"/>
      <c r="D987" s="561"/>
      <c r="E987" s="577"/>
      <c r="F987" s="69"/>
      <c r="G987" s="69"/>
      <c r="H987" s="178">
        <f t="shared" si="30"/>
        <v>0</v>
      </c>
      <c r="I987" s="178">
        <f t="shared" si="31"/>
        <v>0</v>
      </c>
      <c r="J987" s="109"/>
    </row>
    <row r="988" spans="1:10" hidden="1">
      <c r="A988" s="1558"/>
      <c r="B988" s="425"/>
      <c r="C988" s="561"/>
      <c r="D988" s="561"/>
      <c r="E988" s="577"/>
      <c r="F988" s="69"/>
      <c r="G988" s="69"/>
      <c r="H988" s="178">
        <f t="shared" si="30"/>
        <v>0</v>
      </c>
      <c r="I988" s="178">
        <f t="shared" si="31"/>
        <v>0</v>
      </c>
      <c r="J988" s="109"/>
    </row>
    <row r="989" spans="1:10" hidden="1">
      <c r="A989" s="1558"/>
      <c r="B989" s="425"/>
      <c r="C989" s="561"/>
      <c r="D989" s="561"/>
      <c r="E989" s="577"/>
      <c r="F989" s="69"/>
      <c r="G989" s="69"/>
      <c r="H989" s="178">
        <f t="shared" si="30"/>
        <v>0</v>
      </c>
      <c r="I989" s="178">
        <f t="shared" si="31"/>
        <v>0</v>
      </c>
      <c r="J989" s="109"/>
    </row>
    <row r="990" spans="1:10" hidden="1">
      <c r="A990" s="1558"/>
      <c r="B990" s="425"/>
      <c r="C990" s="561"/>
      <c r="D990" s="561"/>
      <c r="E990" s="577"/>
      <c r="F990" s="69"/>
      <c r="G990" s="69"/>
      <c r="H990" s="178">
        <f t="shared" si="30"/>
        <v>0</v>
      </c>
      <c r="I990" s="178">
        <f t="shared" si="31"/>
        <v>0</v>
      </c>
      <c r="J990" s="109"/>
    </row>
    <row r="991" spans="1:10" hidden="1">
      <c r="A991" s="1558"/>
      <c r="B991" s="425"/>
      <c r="C991" s="561"/>
      <c r="D991" s="561"/>
      <c r="E991" s="577"/>
      <c r="F991" s="69"/>
      <c r="G991" s="69"/>
      <c r="H991" s="178">
        <f t="shared" si="30"/>
        <v>0</v>
      </c>
      <c r="I991" s="178">
        <f t="shared" si="31"/>
        <v>0</v>
      </c>
      <c r="J991" s="109"/>
    </row>
    <row r="992" spans="1:10" hidden="1">
      <c r="A992" s="1558"/>
      <c r="B992" s="425"/>
      <c r="C992" s="561"/>
      <c r="D992" s="561"/>
      <c r="E992" s="577"/>
      <c r="F992" s="69"/>
      <c r="G992" s="69"/>
      <c r="H992" s="178">
        <f t="shared" si="30"/>
        <v>0</v>
      </c>
      <c r="I992" s="178">
        <f t="shared" si="31"/>
        <v>0</v>
      </c>
      <c r="J992" s="109"/>
    </row>
    <row r="993" spans="1:10" hidden="1">
      <c r="A993" s="1558"/>
      <c r="B993" s="427"/>
      <c r="C993" s="578"/>
      <c r="D993" s="578"/>
      <c r="E993" s="579"/>
      <c r="F993" s="69"/>
      <c r="G993" s="69"/>
      <c r="H993" s="178">
        <f t="shared" si="30"/>
        <v>0</v>
      </c>
      <c r="I993" s="178">
        <f t="shared" si="31"/>
        <v>0</v>
      </c>
      <c r="J993" s="109"/>
    </row>
    <row r="994" spans="1:10" hidden="1">
      <c r="A994" s="1558"/>
      <c r="B994" s="427"/>
      <c r="C994" s="578"/>
      <c r="D994" s="578"/>
      <c r="E994" s="579"/>
      <c r="F994" s="69"/>
      <c r="G994" s="69"/>
      <c r="H994" s="178">
        <f t="shared" si="30"/>
        <v>0</v>
      </c>
      <c r="I994" s="178">
        <f t="shared" si="31"/>
        <v>0</v>
      </c>
      <c r="J994" s="109"/>
    </row>
    <row r="995" spans="1:10" hidden="1">
      <c r="A995" s="1558"/>
      <c r="B995" s="427"/>
      <c r="C995" s="578"/>
      <c r="D995" s="578"/>
      <c r="E995" s="579"/>
      <c r="F995" s="69"/>
      <c r="G995" s="69"/>
      <c r="H995" s="178">
        <f t="shared" si="30"/>
        <v>0</v>
      </c>
      <c r="I995" s="178">
        <f t="shared" si="31"/>
        <v>0</v>
      </c>
      <c r="J995" s="109"/>
    </row>
    <row r="996" spans="1:10" hidden="1">
      <c r="A996" s="1558"/>
      <c r="B996" s="427"/>
      <c r="C996" s="578"/>
      <c r="D996" s="578"/>
      <c r="E996" s="579"/>
      <c r="F996" s="69"/>
      <c r="G996" s="69"/>
      <c r="H996" s="178">
        <f t="shared" si="30"/>
        <v>0</v>
      </c>
      <c r="I996" s="178">
        <f t="shared" si="31"/>
        <v>0</v>
      </c>
      <c r="J996" s="109"/>
    </row>
    <row r="997" spans="1:10" hidden="1">
      <c r="A997" s="1558"/>
      <c r="B997" s="427"/>
      <c r="C997" s="578"/>
      <c r="D997" s="578"/>
      <c r="E997" s="579"/>
      <c r="F997" s="69"/>
      <c r="G997" s="69"/>
      <c r="H997" s="178">
        <f t="shared" si="30"/>
        <v>0</v>
      </c>
      <c r="I997" s="178">
        <f t="shared" si="31"/>
        <v>0</v>
      </c>
      <c r="J997" s="109"/>
    </row>
    <row r="998" spans="1:10" hidden="1">
      <c r="A998" s="1558"/>
      <c r="B998" s="427"/>
      <c r="C998" s="578"/>
      <c r="D998" s="578"/>
      <c r="E998" s="579"/>
      <c r="F998" s="69"/>
      <c r="G998" s="69"/>
      <c r="H998" s="178">
        <f t="shared" si="30"/>
        <v>0</v>
      </c>
      <c r="I998" s="178">
        <f t="shared" si="31"/>
        <v>0</v>
      </c>
      <c r="J998" s="109"/>
    </row>
    <row r="999" spans="1:10" hidden="1">
      <c r="A999" s="1558"/>
      <c r="B999" s="427"/>
      <c r="C999" s="578"/>
      <c r="D999" s="578"/>
      <c r="E999" s="579"/>
      <c r="F999" s="69"/>
      <c r="G999" s="69"/>
      <c r="H999" s="178">
        <f t="shared" si="30"/>
        <v>0</v>
      </c>
      <c r="I999" s="178">
        <f t="shared" si="31"/>
        <v>0</v>
      </c>
      <c r="J999" s="109"/>
    </row>
    <row r="1000" spans="1:10" hidden="1">
      <c r="A1000" s="1558"/>
      <c r="B1000" s="427"/>
      <c r="C1000" s="578"/>
      <c r="D1000" s="578"/>
      <c r="E1000" s="579"/>
      <c r="F1000" s="69"/>
      <c r="G1000" s="69"/>
      <c r="H1000" s="178">
        <f t="shared" si="30"/>
        <v>0</v>
      </c>
      <c r="I1000" s="178">
        <f t="shared" si="31"/>
        <v>0</v>
      </c>
      <c r="J1000" s="109"/>
    </row>
    <row r="1001" spans="1:10" hidden="1">
      <c r="A1001" s="1558"/>
      <c r="B1001" s="427"/>
      <c r="C1001" s="578"/>
      <c r="D1001" s="578"/>
      <c r="E1001" s="579"/>
      <c r="F1001" s="69"/>
      <c r="G1001" s="69"/>
      <c r="H1001" s="178">
        <f t="shared" si="30"/>
        <v>0</v>
      </c>
      <c r="I1001" s="178">
        <f t="shared" si="31"/>
        <v>0</v>
      </c>
      <c r="J1001" s="109"/>
    </row>
    <row r="1002" spans="1:10" hidden="1">
      <c r="A1002" s="1558"/>
      <c r="B1002" s="427"/>
      <c r="C1002" s="578"/>
      <c r="D1002" s="578"/>
      <c r="E1002" s="579"/>
      <c r="F1002" s="69"/>
      <c r="G1002" s="69"/>
      <c r="H1002" s="178">
        <f t="shared" si="30"/>
        <v>0</v>
      </c>
      <c r="I1002" s="178">
        <f t="shared" si="31"/>
        <v>0</v>
      </c>
      <c r="J1002" s="109"/>
    </row>
    <row r="1003" spans="1:10" hidden="1">
      <c r="A1003" s="1558"/>
      <c r="B1003" s="427"/>
      <c r="C1003" s="578"/>
      <c r="D1003" s="578"/>
      <c r="E1003" s="579"/>
      <c r="F1003" s="69"/>
      <c r="G1003" s="69"/>
      <c r="H1003" s="178">
        <f t="shared" si="30"/>
        <v>0</v>
      </c>
      <c r="I1003" s="178">
        <f t="shared" si="31"/>
        <v>0</v>
      </c>
      <c r="J1003" s="109"/>
    </row>
    <row r="1004" spans="1:10" hidden="1">
      <c r="A1004" s="1558"/>
      <c r="B1004" s="427"/>
      <c r="C1004" s="578"/>
      <c r="D1004" s="578"/>
      <c r="E1004" s="579"/>
      <c r="F1004" s="69"/>
      <c r="G1004" s="69"/>
      <c r="H1004" s="178">
        <f t="shared" si="30"/>
        <v>0</v>
      </c>
      <c r="I1004" s="178">
        <f t="shared" si="31"/>
        <v>0</v>
      </c>
      <c r="J1004" s="109"/>
    </row>
    <row r="1005" spans="1:10" hidden="1">
      <c r="A1005" s="1558"/>
      <c r="B1005" s="427"/>
      <c r="C1005" s="578"/>
      <c r="D1005" s="578"/>
      <c r="E1005" s="579"/>
      <c r="F1005" s="69"/>
      <c r="G1005" s="69"/>
      <c r="H1005" s="178">
        <f t="shared" si="30"/>
        <v>0</v>
      </c>
      <c r="I1005" s="178">
        <f t="shared" si="31"/>
        <v>0</v>
      </c>
      <c r="J1005" s="109"/>
    </row>
    <row r="1006" spans="1:10" hidden="1">
      <c r="A1006" s="1558"/>
      <c r="B1006" s="427"/>
      <c r="C1006" s="578"/>
      <c r="D1006" s="578"/>
      <c r="E1006" s="579"/>
      <c r="F1006" s="69"/>
      <c r="G1006" s="69"/>
      <c r="H1006" s="178">
        <f t="shared" si="30"/>
        <v>0</v>
      </c>
      <c r="I1006" s="178">
        <f t="shared" si="31"/>
        <v>0</v>
      </c>
      <c r="J1006" s="109"/>
    </row>
    <row r="1007" spans="1:10" hidden="1">
      <c r="A1007" s="1558"/>
      <c r="B1007" s="427"/>
      <c r="C1007" s="578"/>
      <c r="D1007" s="578"/>
      <c r="E1007" s="579"/>
      <c r="F1007" s="69"/>
      <c r="G1007" s="69"/>
      <c r="H1007" s="178">
        <f t="shared" si="30"/>
        <v>0</v>
      </c>
      <c r="I1007" s="178">
        <f t="shared" si="31"/>
        <v>0</v>
      </c>
      <c r="J1007" s="109"/>
    </row>
    <row r="1008" spans="1:10" hidden="1">
      <c r="A1008" s="1558"/>
      <c r="B1008" s="427"/>
      <c r="C1008" s="578"/>
      <c r="D1008" s="578"/>
      <c r="E1008" s="579"/>
      <c r="F1008" s="69"/>
      <c r="G1008" s="69"/>
      <c r="H1008" s="178">
        <f t="shared" si="30"/>
        <v>0</v>
      </c>
      <c r="I1008" s="178">
        <f t="shared" si="31"/>
        <v>0</v>
      </c>
      <c r="J1008" s="109"/>
    </row>
    <row r="1009" spans="1:11" hidden="1">
      <c r="A1009" s="1558"/>
      <c r="B1009" s="427"/>
      <c r="C1009" s="578"/>
      <c r="D1009" s="578"/>
      <c r="E1009" s="579"/>
      <c r="F1009" s="69"/>
      <c r="G1009" s="69"/>
      <c r="H1009" s="178">
        <f t="shared" si="30"/>
        <v>0</v>
      </c>
      <c r="I1009" s="178">
        <f t="shared" si="31"/>
        <v>0</v>
      </c>
      <c r="J1009" s="109"/>
    </row>
    <row r="1010" spans="1:11" hidden="1">
      <c r="A1010" s="1558"/>
      <c r="B1010" s="427"/>
      <c r="C1010" s="578"/>
      <c r="D1010" s="578"/>
      <c r="E1010" s="579"/>
      <c r="F1010" s="69"/>
      <c r="G1010" s="69"/>
      <c r="H1010" s="178">
        <f t="shared" si="30"/>
        <v>0</v>
      </c>
      <c r="I1010" s="178">
        <f t="shared" si="31"/>
        <v>0</v>
      </c>
      <c r="J1010" s="109"/>
    </row>
    <row r="1011" spans="1:11" hidden="1">
      <c r="A1011" s="1558"/>
      <c r="B1011" s="427"/>
      <c r="C1011" s="578"/>
      <c r="D1011" s="578"/>
      <c r="E1011" s="579"/>
      <c r="F1011" s="69"/>
      <c r="G1011" s="69"/>
      <c r="H1011" s="178">
        <f t="shared" si="30"/>
        <v>0</v>
      </c>
      <c r="I1011" s="178">
        <f t="shared" si="31"/>
        <v>0</v>
      </c>
      <c r="J1011" s="109"/>
    </row>
    <row r="1012" spans="1:11" hidden="1">
      <c r="A1012" s="1558"/>
      <c r="B1012" s="427"/>
      <c r="C1012" s="578"/>
      <c r="D1012" s="578"/>
      <c r="E1012" s="579"/>
      <c r="F1012" s="69"/>
      <c r="G1012" s="69"/>
      <c r="H1012" s="178">
        <f t="shared" si="30"/>
        <v>0</v>
      </c>
      <c r="I1012" s="178">
        <f t="shared" si="31"/>
        <v>0</v>
      </c>
      <c r="J1012" s="109"/>
    </row>
    <row r="1013" spans="1:11" hidden="1">
      <c r="A1013" s="1558"/>
      <c r="B1013" s="427"/>
      <c r="C1013" s="578"/>
      <c r="D1013" s="578"/>
      <c r="E1013" s="579"/>
      <c r="F1013" s="69"/>
      <c r="G1013" s="69"/>
      <c r="H1013" s="178">
        <f t="shared" si="30"/>
        <v>0</v>
      </c>
      <c r="I1013" s="178">
        <f t="shared" si="31"/>
        <v>0</v>
      </c>
      <c r="J1013" s="109"/>
    </row>
    <row r="1014" spans="1:11" hidden="1">
      <c r="A1014" s="1558"/>
      <c r="B1014" s="427"/>
      <c r="C1014" s="578"/>
      <c r="D1014" s="578"/>
      <c r="E1014" s="579"/>
      <c r="F1014" s="69"/>
      <c r="G1014" s="69"/>
      <c r="H1014" s="178">
        <f t="shared" si="30"/>
        <v>0</v>
      </c>
      <c r="I1014" s="178">
        <f t="shared" si="31"/>
        <v>0</v>
      </c>
      <c r="J1014" s="109"/>
    </row>
    <row r="1015" spans="1:11" hidden="1">
      <c r="A1015" s="1558"/>
      <c r="B1015" s="427"/>
      <c r="C1015" s="578"/>
      <c r="D1015" s="578"/>
      <c r="E1015" s="579"/>
      <c r="F1015" s="69"/>
      <c r="G1015" s="69"/>
      <c r="H1015" s="178">
        <f t="shared" si="30"/>
        <v>0</v>
      </c>
      <c r="I1015" s="178">
        <f t="shared" si="31"/>
        <v>0</v>
      </c>
      <c r="J1015" s="109"/>
    </row>
    <row r="1016" spans="1:11" hidden="1">
      <c r="A1016" s="1558"/>
      <c r="B1016" s="427"/>
      <c r="C1016" s="578"/>
      <c r="D1016" s="578"/>
      <c r="E1016" s="579"/>
      <c r="F1016" s="69"/>
      <c r="G1016" s="69"/>
      <c r="H1016" s="178">
        <f t="shared" si="30"/>
        <v>0</v>
      </c>
      <c r="I1016" s="178">
        <f t="shared" si="31"/>
        <v>0</v>
      </c>
      <c r="J1016" s="109"/>
    </row>
    <row r="1017" spans="1:11" hidden="1">
      <c r="A1017" s="1558"/>
      <c r="B1017" s="427"/>
      <c r="C1017" s="578"/>
      <c r="D1017" s="578"/>
      <c r="E1017" s="579"/>
      <c r="F1017" s="69"/>
      <c r="G1017" s="69"/>
      <c r="H1017" s="178">
        <f t="shared" si="30"/>
        <v>0</v>
      </c>
      <c r="I1017" s="178">
        <f t="shared" si="31"/>
        <v>0</v>
      </c>
      <c r="J1017" s="109"/>
    </row>
    <row r="1018" spans="1:11" hidden="1">
      <c r="A1018" s="1558"/>
      <c r="B1018" s="427"/>
      <c r="C1018" s="578"/>
      <c r="D1018" s="578"/>
      <c r="E1018" s="579"/>
      <c r="F1018" s="69"/>
      <c r="G1018" s="69"/>
      <c r="H1018" s="178">
        <f t="shared" si="30"/>
        <v>0</v>
      </c>
      <c r="I1018" s="178">
        <f t="shared" si="31"/>
        <v>0</v>
      </c>
      <c r="J1018" s="109"/>
    </row>
    <row r="1019" spans="1:11" hidden="1">
      <c r="A1019" s="1558"/>
      <c r="B1019" s="427"/>
      <c r="C1019" s="578"/>
      <c r="D1019" s="578"/>
      <c r="E1019" s="579"/>
      <c r="F1019" s="69"/>
      <c r="G1019" s="69"/>
      <c r="H1019" s="178">
        <f t="shared" si="30"/>
        <v>0</v>
      </c>
      <c r="I1019" s="178">
        <f t="shared" si="31"/>
        <v>0</v>
      </c>
      <c r="J1019" s="109"/>
    </row>
    <row r="1020" spans="1:11" hidden="1">
      <c r="A1020" s="1558"/>
      <c r="B1020" s="427"/>
      <c r="C1020" s="578"/>
      <c r="D1020" s="578"/>
      <c r="E1020" s="579"/>
      <c r="F1020" s="69"/>
      <c r="G1020" s="69"/>
      <c r="H1020" s="178">
        <f t="shared" si="30"/>
        <v>0</v>
      </c>
      <c r="I1020" s="178">
        <f t="shared" si="31"/>
        <v>0</v>
      </c>
      <c r="J1020" s="109"/>
    </row>
    <row r="1021" spans="1:11" hidden="1">
      <c r="A1021" s="1558"/>
      <c r="B1021" s="425"/>
      <c r="C1021" s="561"/>
      <c r="D1021" s="561"/>
      <c r="E1021" s="577"/>
      <c r="F1021" s="69"/>
      <c r="G1021" s="69"/>
      <c r="H1021" s="178">
        <f t="shared" si="30"/>
        <v>0</v>
      </c>
      <c r="I1021" s="178">
        <f t="shared" si="31"/>
        <v>0</v>
      </c>
      <c r="J1021" s="109"/>
    </row>
    <row r="1022" spans="1:11" hidden="1">
      <c r="A1022" s="1558"/>
      <c r="B1022" s="428" t="s">
        <v>199</v>
      </c>
      <c r="C1022" s="559">
        <f>SUM(C944:C1021)</f>
        <v>0</v>
      </c>
      <c r="D1022" s="559">
        <f>SUM(D944:D1021)</f>
        <v>0</v>
      </c>
      <c r="E1022" s="559">
        <f>SUM(E944:E1021)</f>
        <v>0</v>
      </c>
      <c r="F1022" s="115">
        <f>SUM(F944:F966)</f>
        <v>0</v>
      </c>
      <c r="G1022" s="115">
        <f>SUM(G944:G966)</f>
        <v>0</v>
      </c>
      <c r="H1022" s="178">
        <f t="shared" si="30"/>
        <v>0</v>
      </c>
      <c r="I1022" s="178">
        <f t="shared" si="31"/>
        <v>0</v>
      </c>
      <c r="J1022" s="109"/>
    </row>
    <row r="1023" spans="1:11" ht="131.25">
      <c r="A1023" s="1558" t="s">
        <v>1157</v>
      </c>
      <c r="B1023" s="1378" t="s">
        <v>2073</v>
      </c>
      <c r="C1023" s="1392">
        <v>42000</v>
      </c>
      <c r="D1023" s="1392"/>
      <c r="E1023" s="1392">
        <v>42000</v>
      </c>
      <c r="F1023" s="180"/>
      <c r="G1023" s="180"/>
      <c r="H1023" s="1436">
        <f t="shared" si="30"/>
        <v>0</v>
      </c>
      <c r="I1023" s="1436">
        <f t="shared" si="31"/>
        <v>84000</v>
      </c>
      <c r="J1023" s="1439"/>
      <c r="K1023" s="1435"/>
    </row>
    <row r="1024" spans="1:11" ht="51" customHeight="1">
      <c r="A1024" s="1558"/>
      <c r="B1024" s="1378" t="s">
        <v>1251</v>
      </c>
      <c r="C1024" s="1392">
        <v>11000</v>
      </c>
      <c r="D1024" s="1392"/>
      <c r="E1024" s="1392">
        <v>11000</v>
      </c>
      <c r="F1024" s="180"/>
      <c r="G1024" s="180"/>
      <c r="H1024" s="1436">
        <f t="shared" si="30"/>
        <v>0</v>
      </c>
      <c r="I1024" s="1436">
        <f t="shared" si="31"/>
        <v>22000</v>
      </c>
      <c r="J1024" s="1439"/>
      <c r="K1024" s="1435"/>
    </row>
    <row r="1025" spans="1:10" s="622" customFormat="1" hidden="1">
      <c r="A1025" s="1558"/>
      <c r="B1025" s="617"/>
      <c r="C1025" s="630"/>
      <c r="D1025" s="630"/>
      <c r="E1025" s="630"/>
      <c r="F1025" s="619"/>
      <c r="G1025" s="619"/>
      <c r="H1025" s="178">
        <f t="shared" si="30"/>
        <v>0</v>
      </c>
      <c r="I1025" s="178">
        <f t="shared" si="31"/>
        <v>0</v>
      </c>
      <c r="J1025" s="621"/>
    </row>
    <row r="1026" spans="1:10" hidden="1">
      <c r="A1026" s="1558"/>
      <c r="B1026" s="541"/>
      <c r="C1026" s="561"/>
      <c r="D1026" s="561"/>
      <c r="E1026" s="561"/>
      <c r="F1026" s="180"/>
      <c r="G1026" s="180"/>
      <c r="H1026" s="178">
        <f t="shared" si="30"/>
        <v>0</v>
      </c>
      <c r="I1026" s="178">
        <f t="shared" si="31"/>
        <v>0</v>
      </c>
      <c r="J1026" s="109"/>
    </row>
    <row r="1027" spans="1:10" hidden="1">
      <c r="A1027" s="1558"/>
      <c r="B1027" s="425"/>
      <c r="C1027" s="561"/>
      <c r="D1027" s="561"/>
      <c r="E1027" s="561"/>
      <c r="F1027" s="180"/>
      <c r="G1027" s="180"/>
      <c r="H1027" s="178">
        <f t="shared" si="30"/>
        <v>0</v>
      </c>
      <c r="I1027" s="178">
        <f t="shared" si="31"/>
        <v>0</v>
      </c>
      <c r="J1027" s="109"/>
    </row>
    <row r="1028" spans="1:10" hidden="1">
      <c r="A1028" s="1558"/>
      <c r="B1028" s="425"/>
      <c r="C1028" s="561"/>
      <c r="D1028" s="561"/>
      <c r="E1028" s="561"/>
      <c r="F1028" s="180"/>
      <c r="G1028" s="180"/>
      <c r="H1028" s="178">
        <f t="shared" si="30"/>
        <v>0</v>
      </c>
      <c r="I1028" s="178">
        <f t="shared" si="31"/>
        <v>0</v>
      </c>
      <c r="J1028" s="109"/>
    </row>
    <row r="1029" spans="1:10" hidden="1">
      <c r="A1029" s="1558"/>
      <c r="B1029" s="425"/>
      <c r="C1029" s="561"/>
      <c r="D1029" s="561"/>
      <c r="E1029" s="561"/>
      <c r="F1029" s="180"/>
      <c r="G1029" s="180"/>
      <c r="H1029" s="178">
        <f t="shared" si="30"/>
        <v>0</v>
      </c>
      <c r="I1029" s="178">
        <f t="shared" si="31"/>
        <v>0</v>
      </c>
      <c r="J1029" s="109"/>
    </row>
    <row r="1030" spans="1:10" hidden="1">
      <c r="A1030" s="1558"/>
      <c r="B1030" s="425"/>
      <c r="C1030" s="493"/>
      <c r="D1030" s="493"/>
      <c r="E1030" s="493"/>
      <c r="F1030" s="180"/>
      <c r="G1030" s="180"/>
      <c r="H1030" s="178">
        <f t="shared" si="30"/>
        <v>0</v>
      </c>
      <c r="I1030" s="178">
        <f t="shared" si="31"/>
        <v>0</v>
      </c>
      <c r="J1030" s="109"/>
    </row>
    <row r="1031" spans="1:10" hidden="1">
      <c r="A1031" s="1558"/>
      <c r="B1031" s="427"/>
      <c r="C1031" s="578"/>
      <c r="D1031" s="578"/>
      <c r="E1031" s="579"/>
      <c r="F1031" s="180"/>
      <c r="G1031" s="180"/>
      <c r="H1031" s="178">
        <f t="shared" si="30"/>
        <v>0</v>
      </c>
      <c r="I1031" s="178">
        <f t="shared" si="31"/>
        <v>0</v>
      </c>
      <c r="J1031" s="109"/>
    </row>
    <row r="1032" spans="1:10" hidden="1">
      <c r="A1032" s="1558"/>
      <c r="B1032" s="427"/>
      <c r="C1032" s="578"/>
      <c r="D1032" s="578"/>
      <c r="E1032" s="579"/>
      <c r="F1032" s="180"/>
      <c r="G1032" s="180"/>
      <c r="H1032" s="178">
        <f t="shared" si="30"/>
        <v>0</v>
      </c>
      <c r="I1032" s="178">
        <f t="shared" si="31"/>
        <v>0</v>
      </c>
      <c r="J1032" s="109"/>
    </row>
    <row r="1033" spans="1:10" hidden="1">
      <c r="A1033" s="1558"/>
      <c r="B1033" s="425"/>
      <c r="C1033" s="577"/>
      <c r="D1033" s="577"/>
      <c r="E1033" s="577"/>
      <c r="F1033" s="180"/>
      <c r="G1033" s="180"/>
      <c r="H1033" s="178">
        <f t="shared" ref="H1033:H1096" si="32">E1033+D1033-C1033</f>
        <v>0</v>
      </c>
      <c r="I1033" s="178">
        <f t="shared" ref="I1033:I1096" si="33">SUM(C1033:E1033)</f>
        <v>0</v>
      </c>
      <c r="J1033" s="109"/>
    </row>
    <row r="1034" spans="1:10" hidden="1">
      <c r="A1034" s="1558"/>
      <c r="B1034" s="425"/>
      <c r="C1034" s="577"/>
      <c r="D1034" s="577"/>
      <c r="E1034" s="577"/>
      <c r="F1034" s="180"/>
      <c r="G1034" s="180"/>
      <c r="H1034" s="178">
        <f t="shared" si="32"/>
        <v>0</v>
      </c>
      <c r="I1034" s="178">
        <f t="shared" si="33"/>
        <v>0</v>
      </c>
      <c r="J1034" s="109"/>
    </row>
    <row r="1035" spans="1:10" hidden="1">
      <c r="A1035" s="1558"/>
      <c r="B1035" s="425"/>
      <c r="C1035" s="577"/>
      <c r="D1035" s="577"/>
      <c r="E1035" s="577"/>
      <c r="F1035" s="180"/>
      <c r="G1035" s="180"/>
      <c r="H1035" s="178">
        <f t="shared" si="32"/>
        <v>0</v>
      </c>
      <c r="I1035" s="178">
        <f t="shared" si="33"/>
        <v>0</v>
      </c>
      <c r="J1035" s="109"/>
    </row>
    <row r="1036" spans="1:10" hidden="1">
      <c r="A1036" s="1558"/>
      <c r="B1036" s="425"/>
      <c r="C1036" s="577"/>
      <c r="D1036" s="577"/>
      <c r="E1036" s="577"/>
      <c r="F1036" s="180"/>
      <c r="G1036" s="180"/>
      <c r="H1036" s="178">
        <f t="shared" si="32"/>
        <v>0</v>
      </c>
      <c r="I1036" s="178">
        <f t="shared" si="33"/>
        <v>0</v>
      </c>
      <c r="J1036" s="109"/>
    </row>
    <row r="1037" spans="1:10" hidden="1">
      <c r="A1037" s="1558"/>
      <c r="B1037" s="425"/>
      <c r="C1037" s="577"/>
      <c r="D1037" s="577"/>
      <c r="E1037" s="577"/>
      <c r="F1037" s="180"/>
      <c r="G1037" s="180"/>
      <c r="H1037" s="178">
        <f t="shared" si="32"/>
        <v>0</v>
      </c>
      <c r="I1037" s="178">
        <f t="shared" si="33"/>
        <v>0</v>
      </c>
      <c r="J1037" s="109"/>
    </row>
    <row r="1038" spans="1:10" hidden="1">
      <c r="A1038" s="1558"/>
      <c r="B1038" s="425"/>
      <c r="C1038" s="577"/>
      <c r="D1038" s="577"/>
      <c r="E1038" s="577"/>
      <c r="F1038" s="180"/>
      <c r="G1038" s="180"/>
      <c r="H1038" s="178">
        <f t="shared" si="32"/>
        <v>0</v>
      </c>
      <c r="I1038" s="178">
        <f t="shared" si="33"/>
        <v>0</v>
      </c>
      <c r="J1038" s="109"/>
    </row>
    <row r="1039" spans="1:10" hidden="1">
      <c r="A1039" s="1558"/>
      <c r="B1039" s="425"/>
      <c r="C1039" s="577"/>
      <c r="D1039" s="577"/>
      <c r="E1039" s="577"/>
      <c r="F1039" s="180"/>
      <c r="G1039" s="180"/>
      <c r="H1039" s="178">
        <f t="shared" si="32"/>
        <v>0</v>
      </c>
      <c r="I1039" s="178">
        <f t="shared" si="33"/>
        <v>0</v>
      </c>
      <c r="J1039" s="109"/>
    </row>
    <row r="1040" spans="1:10" hidden="1">
      <c r="A1040" s="1558"/>
      <c r="B1040" s="425"/>
      <c r="C1040" s="577"/>
      <c r="D1040" s="577"/>
      <c r="E1040" s="577"/>
      <c r="F1040" s="180"/>
      <c r="G1040" s="180"/>
      <c r="H1040" s="178">
        <f t="shared" si="32"/>
        <v>0</v>
      </c>
      <c r="I1040" s="178">
        <f t="shared" si="33"/>
        <v>0</v>
      </c>
      <c r="J1040" s="109"/>
    </row>
    <row r="1041" spans="1:11" hidden="1">
      <c r="A1041" s="1558"/>
      <c r="B1041" s="425"/>
      <c r="C1041" s="577"/>
      <c r="D1041" s="577"/>
      <c r="E1041" s="577"/>
      <c r="F1041" s="180"/>
      <c r="G1041" s="180"/>
      <c r="H1041" s="178">
        <f t="shared" si="32"/>
        <v>0</v>
      </c>
      <c r="I1041" s="178">
        <f t="shared" si="33"/>
        <v>0</v>
      </c>
      <c r="J1041" s="109"/>
    </row>
    <row r="1042" spans="1:11" hidden="1">
      <c r="A1042" s="1558"/>
      <c r="B1042" s="425"/>
      <c r="C1042" s="577"/>
      <c r="D1042" s="577"/>
      <c r="E1042" s="577"/>
      <c r="F1042" s="180"/>
      <c r="G1042" s="180"/>
      <c r="H1042" s="178">
        <f t="shared" si="32"/>
        <v>0</v>
      </c>
      <c r="I1042" s="178">
        <f t="shared" si="33"/>
        <v>0</v>
      </c>
      <c r="J1042" s="109"/>
    </row>
    <row r="1043" spans="1:11" hidden="1">
      <c r="A1043" s="1558"/>
      <c r="B1043" s="425"/>
      <c r="C1043" s="577"/>
      <c r="D1043" s="577"/>
      <c r="E1043" s="577"/>
      <c r="F1043" s="180"/>
      <c r="G1043" s="180"/>
      <c r="H1043" s="178">
        <f t="shared" si="32"/>
        <v>0</v>
      </c>
      <c r="I1043" s="178">
        <f t="shared" si="33"/>
        <v>0</v>
      </c>
      <c r="J1043" s="109"/>
    </row>
    <row r="1044" spans="1:11" hidden="1">
      <c r="A1044" s="1558"/>
      <c r="B1044" s="425"/>
      <c r="C1044" s="577"/>
      <c r="D1044" s="577"/>
      <c r="E1044" s="577"/>
      <c r="F1044" s="180"/>
      <c r="G1044" s="180"/>
      <c r="H1044" s="178">
        <f t="shared" si="32"/>
        <v>0</v>
      </c>
      <c r="I1044" s="178">
        <f t="shared" si="33"/>
        <v>0</v>
      </c>
      <c r="J1044" s="109"/>
    </row>
    <row r="1045" spans="1:11" hidden="1">
      <c r="A1045" s="1558"/>
      <c r="B1045" s="425"/>
      <c r="C1045" s="561"/>
      <c r="D1045" s="561"/>
      <c r="E1045" s="561"/>
      <c r="F1045" s="180"/>
      <c r="G1045" s="180"/>
      <c r="H1045" s="178">
        <f t="shared" si="32"/>
        <v>0</v>
      </c>
      <c r="I1045" s="178">
        <f t="shared" si="33"/>
        <v>0</v>
      </c>
      <c r="J1045" s="109"/>
    </row>
    <row r="1046" spans="1:11" hidden="1">
      <c r="A1046" s="1558"/>
      <c r="B1046" s="425"/>
      <c r="C1046" s="561"/>
      <c r="D1046" s="561"/>
      <c r="E1046" s="561"/>
      <c r="F1046" s="180"/>
      <c r="G1046" s="180"/>
      <c r="H1046" s="178">
        <f t="shared" si="32"/>
        <v>0</v>
      </c>
      <c r="I1046" s="178">
        <f t="shared" si="33"/>
        <v>0</v>
      </c>
      <c r="J1046" s="109"/>
    </row>
    <row r="1047" spans="1:11" hidden="1">
      <c r="A1047" s="1558"/>
      <c r="B1047" s="425"/>
      <c r="C1047" s="561"/>
      <c r="D1047" s="561"/>
      <c r="E1047" s="561"/>
      <c r="F1047" s="180"/>
      <c r="G1047" s="180"/>
      <c r="H1047" s="178">
        <f t="shared" si="32"/>
        <v>0</v>
      </c>
      <c r="I1047" s="178">
        <f t="shared" si="33"/>
        <v>0</v>
      </c>
      <c r="J1047" s="109"/>
    </row>
    <row r="1048" spans="1:11" hidden="1">
      <c r="A1048" s="1558"/>
      <c r="B1048" s="425"/>
      <c r="C1048" s="561"/>
      <c r="D1048" s="561"/>
      <c r="E1048" s="561"/>
      <c r="F1048" s="180"/>
      <c r="G1048" s="180"/>
      <c r="H1048" s="178">
        <f t="shared" si="32"/>
        <v>0</v>
      </c>
      <c r="I1048" s="178">
        <f t="shared" si="33"/>
        <v>0</v>
      </c>
      <c r="J1048" s="109"/>
    </row>
    <row r="1049" spans="1:11" hidden="1">
      <c r="A1049" s="1558"/>
      <c r="B1049" s="425"/>
      <c r="C1049" s="561"/>
      <c r="D1049" s="561"/>
      <c r="E1049" s="561"/>
      <c r="F1049" s="180"/>
      <c r="G1049" s="180"/>
      <c r="H1049" s="178">
        <f t="shared" si="32"/>
        <v>0</v>
      </c>
      <c r="I1049" s="178">
        <f t="shared" si="33"/>
        <v>0</v>
      </c>
      <c r="J1049" s="109"/>
    </row>
    <row r="1050" spans="1:11" hidden="1">
      <c r="A1050" s="1558"/>
      <c r="B1050" s="425"/>
      <c r="C1050" s="561"/>
      <c r="D1050" s="561"/>
      <c r="E1050" s="561"/>
      <c r="F1050" s="180"/>
      <c r="G1050" s="180"/>
      <c r="H1050" s="178">
        <f t="shared" si="32"/>
        <v>0</v>
      </c>
      <c r="I1050" s="178">
        <f t="shared" si="33"/>
        <v>0</v>
      </c>
      <c r="J1050" s="109"/>
    </row>
    <row r="1051" spans="1:11">
      <c r="A1051" s="1558"/>
      <c r="B1051" s="209" t="s">
        <v>985</v>
      </c>
      <c r="C1051" s="588">
        <f>SUM(C1023:C1050)</f>
        <v>53000</v>
      </c>
      <c r="D1051" s="588">
        <f>SUM(D1023:D1050)</f>
        <v>0</v>
      </c>
      <c r="E1051" s="588">
        <f>SUM(E1023:E1050)</f>
        <v>53000</v>
      </c>
      <c r="F1051" s="115">
        <f>SUM(F1023:F1027)</f>
        <v>0</v>
      </c>
      <c r="G1051" s="115">
        <f>SUM(G1023:G1027)</f>
        <v>0</v>
      </c>
      <c r="H1051" s="1436">
        <f t="shared" si="32"/>
        <v>0</v>
      </c>
      <c r="I1051" s="1436">
        <f t="shared" si="33"/>
        <v>106000</v>
      </c>
      <c r="J1051" s="1439"/>
      <c r="K1051" s="1435"/>
    </row>
    <row r="1052" spans="1:11" ht="80.25" customHeight="1">
      <c r="A1052" s="1558" t="s">
        <v>1158</v>
      </c>
      <c r="B1052" s="1378" t="s">
        <v>2044</v>
      </c>
      <c r="C1052" s="1379">
        <v>14000</v>
      </c>
      <c r="D1052" s="1379"/>
      <c r="E1052" s="1380">
        <v>14000</v>
      </c>
      <c r="F1052" s="1381"/>
      <c r="G1052" s="1381"/>
      <c r="H1052" s="1436">
        <f t="shared" si="32"/>
        <v>0</v>
      </c>
      <c r="I1052" s="1436">
        <f t="shared" si="33"/>
        <v>28000</v>
      </c>
      <c r="J1052" s="1439"/>
      <c r="K1052" s="1435"/>
    </row>
    <row r="1053" spans="1:11" ht="75">
      <c r="A1053" s="1558"/>
      <c r="B1053" s="1378" t="s">
        <v>2046</v>
      </c>
      <c r="C1053" s="1379">
        <v>27256</v>
      </c>
      <c r="D1053" s="1379"/>
      <c r="E1053" s="1380">
        <v>27256</v>
      </c>
      <c r="F1053" s="1381"/>
      <c r="G1053" s="1381"/>
      <c r="H1053" s="1436">
        <f t="shared" si="32"/>
        <v>0</v>
      </c>
      <c r="I1053" s="1436">
        <f t="shared" si="33"/>
        <v>54512</v>
      </c>
      <c r="J1053" s="1439"/>
      <c r="K1053" s="1435"/>
    </row>
    <row r="1054" spans="1:11" hidden="1">
      <c r="A1054" s="1558"/>
      <c r="B1054" s="425"/>
      <c r="C1054" s="561"/>
      <c r="D1054" s="561"/>
      <c r="E1054" s="493"/>
      <c r="F1054" s="69"/>
      <c r="G1054" s="69"/>
      <c r="H1054" s="178">
        <f t="shared" si="32"/>
        <v>0</v>
      </c>
      <c r="I1054" s="178">
        <f t="shared" si="33"/>
        <v>0</v>
      </c>
      <c r="J1054" s="109"/>
    </row>
    <row r="1055" spans="1:11" hidden="1">
      <c r="A1055" s="1558"/>
      <c r="B1055" s="425"/>
      <c r="C1055" s="561"/>
      <c r="D1055" s="561"/>
      <c r="E1055" s="493"/>
      <c r="F1055" s="69"/>
      <c r="G1055" s="69"/>
      <c r="H1055" s="178">
        <f t="shared" si="32"/>
        <v>0</v>
      </c>
      <c r="I1055" s="178">
        <f t="shared" si="33"/>
        <v>0</v>
      </c>
      <c r="J1055" s="109"/>
    </row>
    <row r="1056" spans="1:11" hidden="1">
      <c r="A1056" s="1558"/>
      <c r="B1056" s="425"/>
      <c r="C1056" s="561"/>
      <c r="D1056" s="493"/>
      <c r="E1056" s="493"/>
      <c r="F1056" s="69"/>
      <c r="G1056" s="69"/>
      <c r="H1056" s="178">
        <f t="shared" si="32"/>
        <v>0</v>
      </c>
      <c r="I1056" s="178">
        <f t="shared" si="33"/>
        <v>0</v>
      </c>
      <c r="J1056" s="109"/>
    </row>
    <row r="1057" spans="1:10" hidden="1">
      <c r="A1057" s="1558"/>
      <c r="B1057" s="425"/>
      <c r="C1057" s="561"/>
      <c r="D1057" s="561"/>
      <c r="E1057" s="561"/>
      <c r="F1057" s="69"/>
      <c r="G1057" s="69"/>
      <c r="H1057" s="178">
        <f t="shared" si="32"/>
        <v>0</v>
      </c>
      <c r="I1057" s="178">
        <f t="shared" si="33"/>
        <v>0</v>
      </c>
      <c r="J1057" s="109"/>
    </row>
    <row r="1058" spans="1:10" hidden="1">
      <c r="A1058" s="1558"/>
      <c r="B1058" s="425"/>
      <c r="C1058" s="561"/>
      <c r="D1058" s="561"/>
      <c r="E1058" s="561"/>
      <c r="F1058" s="69"/>
      <c r="G1058" s="69"/>
      <c r="H1058" s="178">
        <f t="shared" si="32"/>
        <v>0</v>
      </c>
      <c r="I1058" s="178">
        <f t="shared" si="33"/>
        <v>0</v>
      </c>
      <c r="J1058" s="109"/>
    </row>
    <row r="1059" spans="1:10" hidden="1">
      <c r="A1059" s="1558"/>
      <c r="B1059" s="425"/>
      <c r="C1059" s="561"/>
      <c r="D1059" s="561"/>
      <c r="E1059" s="561"/>
      <c r="F1059" s="69"/>
      <c r="G1059" s="69"/>
      <c r="H1059" s="178">
        <f t="shared" si="32"/>
        <v>0</v>
      </c>
      <c r="I1059" s="178">
        <f t="shared" si="33"/>
        <v>0</v>
      </c>
      <c r="J1059" s="109"/>
    </row>
    <row r="1060" spans="1:10" hidden="1">
      <c r="A1060" s="1558"/>
      <c r="B1060" s="425"/>
      <c r="C1060" s="493"/>
      <c r="D1060" s="493"/>
      <c r="E1060" s="493"/>
      <c r="F1060" s="69"/>
      <c r="G1060" s="69"/>
      <c r="H1060" s="178">
        <f t="shared" si="32"/>
        <v>0</v>
      </c>
      <c r="I1060" s="178">
        <f t="shared" si="33"/>
        <v>0</v>
      </c>
      <c r="J1060" s="109"/>
    </row>
    <row r="1061" spans="1:10" hidden="1">
      <c r="A1061" s="1558"/>
      <c r="B1061" s="425"/>
      <c r="C1061" s="493"/>
      <c r="D1061" s="493"/>
      <c r="E1061" s="493"/>
      <c r="F1061" s="69"/>
      <c r="G1061" s="69"/>
      <c r="H1061" s="178">
        <f t="shared" si="32"/>
        <v>0</v>
      </c>
      <c r="I1061" s="178">
        <f t="shared" si="33"/>
        <v>0</v>
      </c>
      <c r="J1061" s="109"/>
    </row>
    <row r="1062" spans="1:10" hidden="1">
      <c r="A1062" s="1558"/>
      <c r="B1062" s="425"/>
      <c r="C1062" s="561"/>
      <c r="D1062" s="561"/>
      <c r="E1062" s="561"/>
      <c r="F1062" s="69"/>
      <c r="G1062" s="69"/>
      <c r="H1062" s="178">
        <f t="shared" si="32"/>
        <v>0</v>
      </c>
      <c r="I1062" s="178">
        <f t="shared" si="33"/>
        <v>0</v>
      </c>
      <c r="J1062" s="109"/>
    </row>
    <row r="1063" spans="1:10" hidden="1">
      <c r="A1063" s="1558"/>
      <c r="B1063" s="425"/>
      <c r="C1063" s="493"/>
      <c r="D1063" s="493"/>
      <c r="E1063" s="493"/>
      <c r="F1063" s="69"/>
      <c r="G1063" s="69"/>
      <c r="H1063" s="178">
        <f t="shared" si="32"/>
        <v>0</v>
      </c>
      <c r="I1063" s="178">
        <f t="shared" si="33"/>
        <v>0</v>
      </c>
      <c r="J1063" s="109"/>
    </row>
    <row r="1064" spans="1:10" hidden="1">
      <c r="A1064" s="1558"/>
      <c r="B1064" s="425"/>
      <c r="C1064" s="493"/>
      <c r="D1064" s="493"/>
      <c r="E1064" s="493"/>
      <c r="F1064" s="69"/>
      <c r="G1064" s="69"/>
      <c r="H1064" s="178">
        <f t="shared" si="32"/>
        <v>0</v>
      </c>
      <c r="I1064" s="178">
        <f t="shared" si="33"/>
        <v>0</v>
      </c>
      <c r="J1064" s="109"/>
    </row>
    <row r="1065" spans="1:10" hidden="1">
      <c r="A1065" s="1558"/>
      <c r="B1065" s="425"/>
      <c r="C1065" s="493"/>
      <c r="D1065" s="493"/>
      <c r="E1065" s="493"/>
      <c r="F1065" s="69"/>
      <c r="G1065" s="69"/>
      <c r="H1065" s="178">
        <f t="shared" si="32"/>
        <v>0</v>
      </c>
      <c r="I1065" s="178">
        <f t="shared" si="33"/>
        <v>0</v>
      </c>
      <c r="J1065" s="109"/>
    </row>
    <row r="1066" spans="1:10" hidden="1">
      <c r="A1066" s="1558"/>
      <c r="B1066" s="425"/>
      <c r="C1066" s="493"/>
      <c r="D1066" s="493"/>
      <c r="E1066" s="493"/>
      <c r="F1066" s="69"/>
      <c r="G1066" s="69"/>
      <c r="H1066" s="178">
        <f t="shared" si="32"/>
        <v>0</v>
      </c>
      <c r="I1066" s="178">
        <f t="shared" si="33"/>
        <v>0</v>
      </c>
      <c r="J1066" s="109"/>
    </row>
    <row r="1067" spans="1:10" hidden="1">
      <c r="A1067" s="1558"/>
      <c r="B1067" s="425"/>
      <c r="C1067" s="561"/>
      <c r="D1067" s="561"/>
      <c r="E1067" s="577"/>
      <c r="F1067" s="69"/>
      <c r="G1067" s="69"/>
      <c r="H1067" s="178">
        <f t="shared" si="32"/>
        <v>0</v>
      </c>
      <c r="I1067" s="178">
        <f t="shared" si="33"/>
        <v>0</v>
      </c>
      <c r="J1067" s="109"/>
    </row>
    <row r="1068" spans="1:10" hidden="1">
      <c r="A1068" s="1558"/>
      <c r="B1068" s="427"/>
      <c r="C1068" s="575"/>
      <c r="D1068" s="575"/>
      <c r="E1068" s="576"/>
      <c r="F1068" s="69"/>
      <c r="G1068" s="69"/>
      <c r="H1068" s="178">
        <f t="shared" si="32"/>
        <v>0</v>
      </c>
      <c r="I1068" s="178">
        <f t="shared" si="33"/>
        <v>0</v>
      </c>
      <c r="J1068" s="109"/>
    </row>
    <row r="1069" spans="1:10" hidden="1">
      <c r="A1069" s="1558"/>
      <c r="B1069" s="427"/>
      <c r="C1069" s="578"/>
      <c r="D1069" s="578"/>
      <c r="E1069" s="579"/>
      <c r="F1069" s="69"/>
      <c r="G1069" s="69"/>
      <c r="H1069" s="178">
        <f t="shared" si="32"/>
        <v>0</v>
      </c>
      <c r="I1069" s="178">
        <f t="shared" si="33"/>
        <v>0</v>
      </c>
      <c r="J1069" s="109"/>
    </row>
    <row r="1070" spans="1:10" hidden="1">
      <c r="A1070" s="1558"/>
      <c r="B1070" s="427"/>
      <c r="C1070" s="578"/>
      <c r="D1070" s="578"/>
      <c r="E1070" s="579"/>
      <c r="F1070" s="69"/>
      <c r="G1070" s="69"/>
      <c r="H1070" s="178">
        <f t="shared" si="32"/>
        <v>0</v>
      </c>
      <c r="I1070" s="178">
        <f t="shared" si="33"/>
        <v>0</v>
      </c>
      <c r="J1070" s="109"/>
    </row>
    <row r="1071" spans="1:10" hidden="1">
      <c r="A1071" s="1558"/>
      <c r="B1071" s="427"/>
      <c r="C1071" s="578"/>
      <c r="D1071" s="578"/>
      <c r="E1071" s="579"/>
      <c r="F1071" s="69"/>
      <c r="G1071" s="69"/>
      <c r="H1071" s="178">
        <f t="shared" si="32"/>
        <v>0</v>
      </c>
      <c r="I1071" s="178">
        <f t="shared" si="33"/>
        <v>0</v>
      </c>
      <c r="J1071" s="109"/>
    </row>
    <row r="1072" spans="1:10" hidden="1">
      <c r="A1072" s="1558"/>
      <c r="B1072" s="425"/>
      <c r="C1072" s="577"/>
      <c r="D1072" s="577"/>
      <c r="E1072" s="577"/>
      <c r="F1072" s="69"/>
      <c r="G1072" s="69"/>
      <c r="H1072" s="178">
        <f t="shared" si="32"/>
        <v>0</v>
      </c>
      <c r="I1072" s="178">
        <f t="shared" si="33"/>
        <v>0</v>
      </c>
      <c r="J1072" s="109"/>
    </row>
    <row r="1073" spans="1:11" hidden="1">
      <c r="A1073" s="1558"/>
      <c r="B1073" s="425"/>
      <c r="C1073" s="577"/>
      <c r="D1073" s="577"/>
      <c r="E1073" s="577"/>
      <c r="F1073" s="69"/>
      <c r="G1073" s="69"/>
      <c r="H1073" s="178">
        <f t="shared" si="32"/>
        <v>0</v>
      </c>
      <c r="I1073" s="178">
        <f t="shared" si="33"/>
        <v>0</v>
      </c>
      <c r="J1073" s="109"/>
    </row>
    <row r="1074" spans="1:11" hidden="1">
      <c r="A1074" s="1558"/>
      <c r="B1074" s="425"/>
      <c r="C1074" s="577"/>
      <c r="D1074" s="577"/>
      <c r="E1074" s="577"/>
      <c r="F1074" s="69"/>
      <c r="G1074" s="69"/>
      <c r="H1074" s="178">
        <f t="shared" si="32"/>
        <v>0</v>
      </c>
      <c r="I1074" s="178">
        <f t="shared" si="33"/>
        <v>0</v>
      </c>
      <c r="J1074" s="109"/>
    </row>
    <row r="1075" spans="1:11" hidden="1">
      <c r="A1075" s="1558"/>
      <c r="B1075" s="425"/>
      <c r="C1075" s="577"/>
      <c r="D1075" s="577"/>
      <c r="E1075" s="577"/>
      <c r="F1075" s="69"/>
      <c r="G1075" s="69"/>
      <c r="H1075" s="178">
        <f t="shared" si="32"/>
        <v>0</v>
      </c>
      <c r="I1075" s="178">
        <f t="shared" si="33"/>
        <v>0</v>
      </c>
      <c r="J1075" s="109"/>
    </row>
    <row r="1076" spans="1:11" hidden="1">
      <c r="A1076" s="1558"/>
      <c r="B1076" s="425"/>
      <c r="C1076" s="577"/>
      <c r="D1076" s="577"/>
      <c r="E1076" s="577"/>
      <c r="F1076" s="69"/>
      <c r="G1076" s="69"/>
      <c r="H1076" s="178">
        <f t="shared" si="32"/>
        <v>0</v>
      </c>
      <c r="I1076" s="178">
        <f t="shared" si="33"/>
        <v>0</v>
      </c>
      <c r="J1076" s="109"/>
    </row>
    <row r="1077" spans="1:11" hidden="1">
      <c r="A1077" s="1558"/>
      <c r="B1077" s="425"/>
      <c r="C1077" s="577"/>
      <c r="D1077" s="577"/>
      <c r="E1077" s="577"/>
      <c r="F1077" s="69"/>
      <c r="G1077" s="69"/>
      <c r="H1077" s="178">
        <f t="shared" si="32"/>
        <v>0</v>
      </c>
      <c r="I1077" s="178">
        <f t="shared" si="33"/>
        <v>0</v>
      </c>
      <c r="J1077" s="109"/>
    </row>
    <row r="1078" spans="1:11" hidden="1">
      <c r="A1078" s="1558"/>
      <c r="B1078" s="425"/>
      <c r="C1078" s="577"/>
      <c r="D1078" s="577"/>
      <c r="E1078" s="577"/>
      <c r="F1078" s="69"/>
      <c r="G1078" s="69"/>
      <c r="H1078" s="178">
        <f t="shared" si="32"/>
        <v>0</v>
      </c>
      <c r="I1078" s="178">
        <f t="shared" si="33"/>
        <v>0</v>
      </c>
      <c r="J1078" s="109"/>
    </row>
    <row r="1079" spans="1:11" hidden="1">
      <c r="A1079" s="1558"/>
      <c r="B1079" s="425"/>
      <c r="C1079" s="577"/>
      <c r="D1079" s="577"/>
      <c r="E1079" s="577"/>
      <c r="F1079" s="69"/>
      <c r="G1079" s="69"/>
      <c r="H1079" s="178">
        <f t="shared" si="32"/>
        <v>0</v>
      </c>
      <c r="I1079" s="178">
        <f t="shared" si="33"/>
        <v>0</v>
      </c>
      <c r="J1079" s="109"/>
    </row>
    <row r="1080" spans="1:11" hidden="1">
      <c r="A1080" s="1558"/>
      <c r="B1080" s="425"/>
      <c r="C1080" s="577"/>
      <c r="D1080" s="577"/>
      <c r="E1080" s="577"/>
      <c r="F1080" s="69"/>
      <c r="G1080" s="69"/>
      <c r="H1080" s="178">
        <f t="shared" si="32"/>
        <v>0</v>
      </c>
      <c r="I1080" s="178">
        <f t="shared" si="33"/>
        <v>0</v>
      </c>
      <c r="J1080" s="109"/>
    </row>
    <row r="1081" spans="1:11" hidden="1">
      <c r="A1081" s="1558"/>
      <c r="B1081" s="425"/>
      <c r="C1081" s="577"/>
      <c r="D1081" s="577"/>
      <c r="E1081" s="577"/>
      <c r="F1081" s="69"/>
      <c r="G1081" s="69"/>
      <c r="H1081" s="178">
        <f t="shared" si="32"/>
        <v>0</v>
      </c>
      <c r="I1081" s="178">
        <f t="shared" si="33"/>
        <v>0</v>
      </c>
      <c r="J1081" s="109"/>
    </row>
    <row r="1082" spans="1:11" hidden="1">
      <c r="A1082" s="1558"/>
      <c r="B1082" s="425"/>
      <c r="C1082" s="577"/>
      <c r="D1082" s="577"/>
      <c r="E1082" s="577"/>
      <c r="F1082" s="69"/>
      <c r="G1082" s="69"/>
      <c r="H1082" s="178">
        <f t="shared" si="32"/>
        <v>0</v>
      </c>
      <c r="I1082" s="178">
        <f t="shared" si="33"/>
        <v>0</v>
      </c>
      <c r="J1082" s="109"/>
    </row>
    <row r="1083" spans="1:11" hidden="1">
      <c r="A1083" s="1558"/>
      <c r="B1083" s="425"/>
      <c r="C1083" s="577"/>
      <c r="D1083" s="577"/>
      <c r="E1083" s="577"/>
      <c r="F1083" s="69"/>
      <c r="G1083" s="69"/>
      <c r="H1083" s="178">
        <f t="shared" si="32"/>
        <v>0</v>
      </c>
      <c r="I1083" s="178">
        <f t="shared" si="33"/>
        <v>0</v>
      </c>
      <c r="J1083" s="109"/>
    </row>
    <row r="1084" spans="1:11" hidden="1">
      <c r="A1084" s="1558"/>
      <c r="B1084" s="425"/>
      <c r="C1084" s="577"/>
      <c r="D1084" s="577"/>
      <c r="E1084" s="577"/>
      <c r="F1084" s="69"/>
      <c r="G1084" s="69"/>
      <c r="H1084" s="178">
        <f t="shared" si="32"/>
        <v>0</v>
      </c>
      <c r="I1084" s="178">
        <f t="shared" si="33"/>
        <v>0</v>
      </c>
      <c r="J1084" s="109"/>
    </row>
    <row r="1085" spans="1:11" hidden="1">
      <c r="A1085" s="1558"/>
      <c r="B1085" s="425"/>
      <c r="C1085" s="577"/>
      <c r="D1085" s="577"/>
      <c r="E1085" s="577"/>
      <c r="F1085" s="69"/>
      <c r="G1085" s="69"/>
      <c r="H1085" s="178">
        <f t="shared" si="32"/>
        <v>0</v>
      </c>
      <c r="I1085" s="178">
        <f t="shared" si="33"/>
        <v>0</v>
      </c>
      <c r="J1085" s="109"/>
    </row>
    <row r="1086" spans="1:11" hidden="1">
      <c r="A1086" s="1558"/>
      <c r="B1086" s="425"/>
      <c r="C1086" s="577"/>
      <c r="D1086" s="577"/>
      <c r="E1086" s="577"/>
      <c r="F1086" s="69"/>
      <c r="G1086" s="69"/>
      <c r="H1086" s="178">
        <f t="shared" si="32"/>
        <v>0</v>
      </c>
      <c r="I1086" s="178">
        <f t="shared" si="33"/>
        <v>0</v>
      </c>
      <c r="J1086" s="109"/>
    </row>
    <row r="1087" spans="1:11" hidden="1">
      <c r="A1087" s="1558"/>
      <c r="B1087" s="541"/>
      <c r="C1087" s="561"/>
      <c r="D1087" s="577"/>
      <c r="E1087" s="577"/>
      <c r="F1087" s="69"/>
      <c r="G1087" s="69"/>
      <c r="H1087" s="178">
        <f t="shared" si="32"/>
        <v>0</v>
      </c>
      <c r="I1087" s="178">
        <f t="shared" si="33"/>
        <v>0</v>
      </c>
      <c r="J1087" s="109"/>
    </row>
    <row r="1088" spans="1:11">
      <c r="A1088" s="1558"/>
      <c r="B1088" s="428" t="s">
        <v>985</v>
      </c>
      <c r="C1088" s="560">
        <f>SUM(C1052:C1087)</f>
        <v>41256</v>
      </c>
      <c r="D1088" s="560">
        <f>SUM(D1052:D1087)</f>
        <v>0</v>
      </c>
      <c r="E1088" s="581">
        <f>SUM(E1052:E1087)</f>
        <v>41256</v>
      </c>
      <c r="F1088" s="115">
        <f>SUM(F1042:F1050)</f>
        <v>0</v>
      </c>
      <c r="G1088" s="115">
        <f>SUM(G1042:G1050)</f>
        <v>0</v>
      </c>
      <c r="H1088" s="1436">
        <f t="shared" si="32"/>
        <v>0</v>
      </c>
      <c r="I1088" s="1436">
        <f t="shared" si="33"/>
        <v>82512</v>
      </c>
      <c r="J1088" s="1439"/>
      <c r="K1088" s="1435"/>
    </row>
    <row r="1089" spans="1:11" ht="93.75">
      <c r="A1089" s="1558" t="s">
        <v>1159</v>
      </c>
      <c r="B1089" s="1378" t="s">
        <v>2034</v>
      </c>
      <c r="C1089" s="1379">
        <v>65000</v>
      </c>
      <c r="D1089" s="1379"/>
      <c r="E1089" s="1380">
        <v>65000</v>
      </c>
      <c r="F1089" s="1381"/>
      <c r="G1089" s="1381"/>
      <c r="H1089" s="1436">
        <f t="shared" si="32"/>
        <v>0</v>
      </c>
      <c r="I1089" s="1436">
        <f t="shared" si="33"/>
        <v>130000</v>
      </c>
      <c r="J1089" s="1439"/>
      <c r="K1089" s="1435"/>
    </row>
    <row r="1090" spans="1:11" hidden="1">
      <c r="A1090" s="1558"/>
      <c r="B1090" s="425"/>
      <c r="C1090" s="561"/>
      <c r="D1090" s="561"/>
      <c r="E1090" s="493"/>
      <c r="F1090" s="180"/>
      <c r="G1090" s="180"/>
      <c r="H1090" s="178">
        <f t="shared" si="32"/>
        <v>0</v>
      </c>
      <c r="I1090" s="178">
        <f t="shared" si="33"/>
        <v>0</v>
      </c>
      <c r="J1090" s="109"/>
    </row>
    <row r="1091" spans="1:11" hidden="1">
      <c r="A1091" s="1558"/>
      <c r="B1091" s="432"/>
      <c r="C1091" s="493"/>
      <c r="D1091" s="493"/>
      <c r="E1091" s="493"/>
      <c r="F1091" s="69"/>
      <c r="G1091" s="69"/>
      <c r="H1091" s="178">
        <f t="shared" si="32"/>
        <v>0</v>
      </c>
      <c r="I1091" s="178">
        <f t="shared" si="33"/>
        <v>0</v>
      </c>
      <c r="J1091" s="109"/>
    </row>
    <row r="1092" spans="1:11" hidden="1">
      <c r="A1092" s="1558"/>
      <c r="B1092" s="432"/>
      <c r="C1092" s="493"/>
      <c r="D1092" s="493"/>
      <c r="E1092" s="493"/>
      <c r="F1092" s="69"/>
      <c r="G1092" s="69"/>
      <c r="H1092" s="178">
        <f t="shared" si="32"/>
        <v>0</v>
      </c>
      <c r="I1092" s="178">
        <f t="shared" si="33"/>
        <v>0</v>
      </c>
      <c r="J1092" s="109"/>
    </row>
    <row r="1093" spans="1:11" hidden="1">
      <c r="A1093" s="1558"/>
      <c r="B1093" s="432"/>
      <c r="C1093" s="493"/>
      <c r="D1093" s="493"/>
      <c r="E1093" s="493"/>
      <c r="F1093" s="69"/>
      <c r="G1093" s="69"/>
      <c r="H1093" s="178">
        <f t="shared" si="32"/>
        <v>0</v>
      </c>
      <c r="I1093" s="178">
        <f t="shared" si="33"/>
        <v>0</v>
      </c>
      <c r="J1093" s="109"/>
    </row>
    <row r="1094" spans="1:11" hidden="1">
      <c r="A1094" s="1558"/>
      <c r="B1094" s="432"/>
      <c r="C1094" s="493"/>
      <c r="D1094" s="493"/>
      <c r="E1094" s="493"/>
      <c r="F1094" s="69"/>
      <c r="G1094" s="69"/>
      <c r="H1094" s="178">
        <f t="shared" si="32"/>
        <v>0</v>
      </c>
      <c r="I1094" s="178">
        <f t="shared" si="33"/>
        <v>0</v>
      </c>
      <c r="J1094" s="109"/>
    </row>
    <row r="1095" spans="1:11" hidden="1">
      <c r="A1095" s="1558"/>
      <c r="B1095" s="425"/>
      <c r="C1095" s="561"/>
      <c r="D1095" s="561"/>
      <c r="E1095" s="493"/>
      <c r="F1095" s="69"/>
      <c r="G1095" s="69"/>
      <c r="H1095" s="178">
        <f t="shared" si="32"/>
        <v>0</v>
      </c>
      <c r="I1095" s="178">
        <f t="shared" si="33"/>
        <v>0</v>
      </c>
      <c r="J1095" s="109"/>
    </row>
    <row r="1096" spans="1:11" hidden="1">
      <c r="A1096" s="1558"/>
      <c r="B1096" s="425"/>
      <c r="C1096" s="561"/>
      <c r="D1096" s="561"/>
      <c r="E1096" s="493"/>
      <c r="F1096" s="69"/>
      <c r="G1096" s="69"/>
      <c r="H1096" s="178">
        <f t="shared" si="32"/>
        <v>0</v>
      </c>
      <c r="I1096" s="178">
        <f t="shared" si="33"/>
        <v>0</v>
      </c>
      <c r="J1096" s="109"/>
    </row>
    <row r="1097" spans="1:11" hidden="1">
      <c r="A1097" s="1558"/>
      <c r="B1097" s="425"/>
      <c r="C1097" s="561"/>
      <c r="D1097" s="561"/>
      <c r="E1097" s="493"/>
      <c r="F1097" s="69"/>
      <c r="G1097" s="69"/>
      <c r="H1097" s="178">
        <f t="shared" ref="H1097:H1160" si="34">E1097+D1097-C1097</f>
        <v>0</v>
      </c>
      <c r="I1097" s="178">
        <f t="shared" ref="I1097:I1160" si="35">SUM(C1097:E1097)</f>
        <v>0</v>
      </c>
      <c r="J1097" s="109"/>
    </row>
    <row r="1098" spans="1:11" hidden="1">
      <c r="A1098" s="1558"/>
      <c r="B1098" s="425"/>
      <c r="C1098" s="493"/>
      <c r="D1098" s="493"/>
      <c r="E1098" s="493"/>
      <c r="F1098" s="69"/>
      <c r="G1098" s="69"/>
      <c r="H1098" s="178">
        <f t="shared" si="34"/>
        <v>0</v>
      </c>
      <c r="I1098" s="178">
        <f t="shared" si="35"/>
        <v>0</v>
      </c>
      <c r="J1098" s="109"/>
    </row>
    <row r="1099" spans="1:11" hidden="1">
      <c r="A1099" s="1558"/>
      <c r="B1099" s="425"/>
      <c r="C1099" s="493"/>
      <c r="D1099" s="493"/>
      <c r="E1099" s="493"/>
      <c r="F1099" s="69"/>
      <c r="G1099" s="69"/>
      <c r="H1099" s="178">
        <f t="shared" si="34"/>
        <v>0</v>
      </c>
      <c r="I1099" s="178">
        <f t="shared" si="35"/>
        <v>0</v>
      </c>
      <c r="J1099" s="109"/>
    </row>
    <row r="1100" spans="1:11" hidden="1">
      <c r="A1100" s="1558"/>
      <c r="B1100" s="425"/>
      <c r="C1100" s="493"/>
      <c r="D1100" s="493"/>
      <c r="E1100" s="493"/>
      <c r="F1100" s="69"/>
      <c r="G1100" s="69"/>
      <c r="H1100" s="178">
        <f t="shared" si="34"/>
        <v>0</v>
      </c>
      <c r="I1100" s="178">
        <f t="shared" si="35"/>
        <v>0</v>
      </c>
      <c r="J1100" s="109"/>
    </row>
    <row r="1101" spans="1:11" hidden="1">
      <c r="A1101" s="1558"/>
      <c r="B1101" s="425"/>
      <c r="C1101" s="493"/>
      <c r="D1101" s="493"/>
      <c r="E1101" s="493"/>
      <c r="F1101" s="69"/>
      <c r="G1101" s="69"/>
      <c r="H1101" s="178">
        <f t="shared" si="34"/>
        <v>0</v>
      </c>
      <c r="I1101" s="178">
        <f t="shared" si="35"/>
        <v>0</v>
      </c>
      <c r="J1101" s="109"/>
    </row>
    <row r="1102" spans="1:11" hidden="1">
      <c r="A1102" s="1558"/>
      <c r="B1102" s="425"/>
      <c r="C1102" s="493"/>
      <c r="D1102" s="493"/>
      <c r="E1102" s="493"/>
      <c r="F1102" s="69"/>
      <c r="G1102" s="69"/>
      <c r="H1102" s="178">
        <f t="shared" si="34"/>
        <v>0</v>
      </c>
      <c r="I1102" s="178">
        <f t="shared" si="35"/>
        <v>0</v>
      </c>
      <c r="J1102" s="109"/>
    </row>
    <row r="1103" spans="1:11" hidden="1">
      <c r="A1103" s="1558"/>
      <c r="B1103" s="425"/>
      <c r="C1103" s="493"/>
      <c r="D1103" s="493"/>
      <c r="E1103" s="493"/>
      <c r="F1103" s="69"/>
      <c r="G1103" s="69"/>
      <c r="H1103" s="178">
        <f t="shared" si="34"/>
        <v>0</v>
      </c>
      <c r="I1103" s="178">
        <f t="shared" si="35"/>
        <v>0</v>
      </c>
      <c r="J1103" s="109"/>
    </row>
    <row r="1104" spans="1:11" hidden="1">
      <c r="A1104" s="1558"/>
      <c r="B1104" s="425"/>
      <c r="C1104" s="561"/>
      <c r="D1104" s="561"/>
      <c r="E1104" s="561"/>
      <c r="F1104" s="178">
        <v>0</v>
      </c>
      <c r="G1104" s="178">
        <v>20000</v>
      </c>
      <c r="H1104" s="178">
        <f t="shared" si="34"/>
        <v>0</v>
      </c>
      <c r="I1104" s="178">
        <f t="shared" si="35"/>
        <v>0</v>
      </c>
      <c r="J1104" s="109"/>
    </row>
    <row r="1105" spans="1:10" hidden="1">
      <c r="A1105" s="1558"/>
      <c r="B1105" s="425"/>
      <c r="C1105" s="561"/>
      <c r="D1105" s="561"/>
      <c r="E1105" s="561"/>
      <c r="F1105" s="178">
        <v>0</v>
      </c>
      <c r="G1105" s="178">
        <v>20000</v>
      </c>
      <c r="H1105" s="178">
        <f t="shared" si="34"/>
        <v>0</v>
      </c>
      <c r="I1105" s="178">
        <f t="shared" si="35"/>
        <v>0</v>
      </c>
      <c r="J1105" s="109"/>
    </row>
    <row r="1106" spans="1:10" hidden="1">
      <c r="A1106" s="1558"/>
      <c r="B1106" s="425"/>
      <c r="C1106" s="561"/>
      <c r="D1106" s="561"/>
      <c r="E1106" s="561"/>
      <c r="F1106" s="178">
        <v>0</v>
      </c>
      <c r="G1106" s="178">
        <v>19294</v>
      </c>
      <c r="H1106" s="178">
        <f t="shared" si="34"/>
        <v>0</v>
      </c>
      <c r="I1106" s="178">
        <f t="shared" si="35"/>
        <v>0</v>
      </c>
      <c r="J1106" s="109"/>
    </row>
    <row r="1107" spans="1:10" hidden="1">
      <c r="A1107" s="1558"/>
      <c r="B1107" s="425"/>
      <c r="C1107" s="561"/>
      <c r="D1107" s="561"/>
      <c r="E1107" s="561"/>
      <c r="F1107" s="178">
        <v>0</v>
      </c>
      <c r="G1107" s="178">
        <v>40000</v>
      </c>
      <c r="H1107" s="178">
        <f t="shared" si="34"/>
        <v>0</v>
      </c>
      <c r="I1107" s="178">
        <f t="shared" si="35"/>
        <v>0</v>
      </c>
      <c r="J1107" s="109"/>
    </row>
    <row r="1108" spans="1:10" hidden="1">
      <c r="A1108" s="1558"/>
      <c r="B1108" s="425"/>
      <c r="C1108" s="561"/>
      <c r="D1108" s="561"/>
      <c r="E1108" s="561"/>
      <c r="F1108" s="178">
        <v>0</v>
      </c>
      <c r="G1108" s="178">
        <v>20000</v>
      </c>
      <c r="H1108" s="178">
        <f t="shared" si="34"/>
        <v>0</v>
      </c>
      <c r="I1108" s="178">
        <f t="shared" si="35"/>
        <v>0</v>
      </c>
      <c r="J1108" s="109"/>
    </row>
    <row r="1109" spans="1:10" hidden="1">
      <c r="A1109" s="1558"/>
      <c r="B1109" s="425"/>
      <c r="C1109" s="561"/>
      <c r="D1109" s="561"/>
      <c r="E1109" s="577"/>
      <c r="F1109" s="69"/>
      <c r="G1109" s="69"/>
      <c r="H1109" s="178">
        <f t="shared" si="34"/>
        <v>0</v>
      </c>
      <c r="I1109" s="178">
        <f t="shared" si="35"/>
        <v>0</v>
      </c>
      <c r="J1109" s="109"/>
    </row>
    <row r="1110" spans="1:10" hidden="1">
      <c r="A1110" s="1558"/>
      <c r="B1110" s="427"/>
      <c r="C1110" s="575"/>
      <c r="D1110" s="575"/>
      <c r="E1110" s="576"/>
      <c r="F1110" s="69"/>
      <c r="G1110" s="69"/>
      <c r="H1110" s="178">
        <f t="shared" si="34"/>
        <v>0</v>
      </c>
      <c r="I1110" s="178">
        <f t="shared" si="35"/>
        <v>0</v>
      </c>
      <c r="J1110" s="109"/>
    </row>
    <row r="1111" spans="1:10" hidden="1">
      <c r="A1111" s="1558"/>
      <c r="B1111" s="427"/>
      <c r="C1111" s="575"/>
      <c r="D1111" s="575"/>
      <c r="E1111" s="576"/>
      <c r="F1111" s="69"/>
      <c r="G1111" s="69"/>
      <c r="H1111" s="178">
        <f t="shared" si="34"/>
        <v>0</v>
      </c>
      <c r="I1111" s="178">
        <f t="shared" si="35"/>
        <v>0</v>
      </c>
      <c r="J1111" s="109"/>
    </row>
    <row r="1112" spans="1:10" hidden="1">
      <c r="A1112" s="1558"/>
      <c r="B1112" s="427"/>
      <c r="C1112" s="575"/>
      <c r="D1112" s="575"/>
      <c r="E1112" s="576"/>
      <c r="F1112" s="69"/>
      <c r="G1112" s="69"/>
      <c r="H1112" s="178">
        <f t="shared" si="34"/>
        <v>0</v>
      </c>
      <c r="I1112" s="178">
        <f t="shared" si="35"/>
        <v>0</v>
      </c>
      <c r="J1112" s="109"/>
    </row>
    <row r="1113" spans="1:10" hidden="1">
      <c r="A1113" s="1558"/>
      <c r="B1113" s="427"/>
      <c r="C1113" s="578"/>
      <c r="D1113" s="578"/>
      <c r="E1113" s="579"/>
      <c r="F1113" s="69"/>
      <c r="G1113" s="69"/>
      <c r="H1113" s="178">
        <f t="shared" si="34"/>
        <v>0</v>
      </c>
      <c r="I1113" s="178">
        <f t="shared" si="35"/>
        <v>0</v>
      </c>
      <c r="J1113" s="109"/>
    </row>
    <row r="1114" spans="1:10" hidden="1">
      <c r="A1114" s="1558"/>
      <c r="B1114" s="427"/>
      <c r="C1114" s="575"/>
      <c r="D1114" s="575"/>
      <c r="E1114" s="576"/>
      <c r="F1114" s="69"/>
      <c r="G1114" s="69"/>
      <c r="H1114" s="178">
        <f t="shared" si="34"/>
        <v>0</v>
      </c>
      <c r="I1114" s="178">
        <f t="shared" si="35"/>
        <v>0</v>
      </c>
      <c r="J1114" s="109"/>
    </row>
    <row r="1115" spans="1:10" hidden="1">
      <c r="A1115" s="1558"/>
      <c r="B1115" s="427"/>
      <c r="C1115" s="575"/>
      <c r="D1115" s="575"/>
      <c r="E1115" s="576"/>
      <c r="F1115" s="69"/>
      <c r="G1115" s="69"/>
      <c r="H1115" s="178">
        <f t="shared" si="34"/>
        <v>0</v>
      </c>
      <c r="I1115" s="178">
        <f t="shared" si="35"/>
        <v>0</v>
      </c>
      <c r="J1115" s="109"/>
    </row>
    <row r="1116" spans="1:10" hidden="1">
      <c r="A1116" s="1558"/>
      <c r="B1116" s="427"/>
      <c r="C1116" s="575"/>
      <c r="D1116" s="575"/>
      <c r="E1116" s="576"/>
      <c r="F1116" s="69"/>
      <c r="G1116" s="69"/>
      <c r="H1116" s="178">
        <f t="shared" si="34"/>
        <v>0</v>
      </c>
      <c r="I1116" s="178">
        <f t="shared" si="35"/>
        <v>0</v>
      </c>
      <c r="J1116" s="109"/>
    </row>
    <row r="1117" spans="1:10" hidden="1">
      <c r="A1117" s="1558"/>
      <c r="B1117" s="427"/>
      <c r="C1117" s="575"/>
      <c r="D1117" s="575"/>
      <c r="E1117" s="576"/>
      <c r="F1117" s="69"/>
      <c r="G1117" s="69"/>
      <c r="H1117" s="178">
        <f t="shared" si="34"/>
        <v>0</v>
      </c>
      <c r="I1117" s="178">
        <f t="shared" si="35"/>
        <v>0</v>
      </c>
      <c r="J1117" s="109"/>
    </row>
    <row r="1118" spans="1:10" hidden="1">
      <c r="A1118" s="1558"/>
      <c r="B1118" s="427"/>
      <c r="C1118" s="575"/>
      <c r="D1118" s="575"/>
      <c r="E1118" s="576"/>
      <c r="F1118" s="69"/>
      <c r="G1118" s="69"/>
      <c r="H1118" s="178">
        <f t="shared" si="34"/>
        <v>0</v>
      </c>
      <c r="I1118" s="178">
        <f t="shared" si="35"/>
        <v>0</v>
      </c>
      <c r="J1118" s="109"/>
    </row>
    <row r="1119" spans="1:10" hidden="1">
      <c r="A1119" s="1558"/>
      <c r="B1119" s="427"/>
      <c r="C1119" s="575"/>
      <c r="D1119" s="575"/>
      <c r="E1119" s="576"/>
      <c r="F1119" s="69"/>
      <c r="G1119" s="69"/>
      <c r="H1119" s="178">
        <f t="shared" si="34"/>
        <v>0</v>
      </c>
      <c r="I1119" s="178">
        <f t="shared" si="35"/>
        <v>0</v>
      </c>
      <c r="J1119" s="109"/>
    </row>
    <row r="1120" spans="1:10" hidden="1">
      <c r="A1120" s="1558"/>
      <c r="B1120" s="427"/>
      <c r="C1120" s="575"/>
      <c r="D1120" s="575"/>
      <c r="E1120" s="576"/>
      <c r="F1120" s="69"/>
      <c r="G1120" s="69"/>
      <c r="H1120" s="178">
        <f t="shared" si="34"/>
        <v>0</v>
      </c>
      <c r="I1120" s="178">
        <f t="shared" si="35"/>
        <v>0</v>
      </c>
      <c r="J1120" s="109"/>
    </row>
    <row r="1121" spans="1:11" hidden="1">
      <c r="A1121" s="1558"/>
      <c r="B1121" s="427"/>
      <c r="C1121" s="575"/>
      <c r="D1121" s="575"/>
      <c r="E1121" s="576"/>
      <c r="F1121" s="69"/>
      <c r="G1121" s="69"/>
      <c r="H1121" s="178">
        <f t="shared" si="34"/>
        <v>0</v>
      </c>
      <c r="I1121" s="178">
        <f t="shared" si="35"/>
        <v>0</v>
      </c>
      <c r="J1121" s="109"/>
    </row>
    <row r="1122" spans="1:11" hidden="1">
      <c r="A1122" s="1558"/>
      <c r="B1122" s="427"/>
      <c r="C1122" s="575"/>
      <c r="D1122" s="575"/>
      <c r="E1122" s="576"/>
      <c r="F1122" s="69"/>
      <c r="G1122" s="69"/>
      <c r="H1122" s="178">
        <f t="shared" si="34"/>
        <v>0</v>
      </c>
      <c r="I1122" s="178">
        <f t="shared" si="35"/>
        <v>0</v>
      </c>
      <c r="J1122" s="109"/>
    </row>
    <row r="1123" spans="1:11" hidden="1">
      <c r="A1123" s="1558"/>
      <c r="B1123" s="427"/>
      <c r="C1123" s="575"/>
      <c r="D1123" s="575"/>
      <c r="E1123" s="576"/>
      <c r="F1123" s="69"/>
      <c r="G1123" s="69"/>
      <c r="H1123" s="178">
        <f t="shared" si="34"/>
        <v>0</v>
      </c>
      <c r="I1123" s="178">
        <f t="shared" si="35"/>
        <v>0</v>
      </c>
      <c r="J1123" s="109"/>
    </row>
    <row r="1124" spans="1:11" hidden="1">
      <c r="A1124" s="1558"/>
      <c r="B1124" s="427"/>
      <c r="C1124" s="575"/>
      <c r="D1124" s="575"/>
      <c r="E1124" s="576"/>
      <c r="F1124" s="69"/>
      <c r="G1124" s="69"/>
      <c r="H1124" s="178">
        <f t="shared" si="34"/>
        <v>0</v>
      </c>
      <c r="I1124" s="178">
        <f t="shared" si="35"/>
        <v>0</v>
      </c>
      <c r="J1124" s="109"/>
    </row>
    <row r="1125" spans="1:11" hidden="1">
      <c r="A1125" s="1558"/>
      <c r="B1125" s="427"/>
      <c r="C1125" s="575"/>
      <c r="D1125" s="575"/>
      <c r="E1125" s="576"/>
      <c r="F1125" s="69"/>
      <c r="G1125" s="69"/>
      <c r="H1125" s="178">
        <f t="shared" si="34"/>
        <v>0</v>
      </c>
      <c r="I1125" s="178">
        <f t="shared" si="35"/>
        <v>0</v>
      </c>
      <c r="J1125" s="109"/>
    </row>
    <row r="1126" spans="1:11" hidden="1">
      <c r="A1126" s="1558"/>
      <c r="B1126" s="427"/>
      <c r="C1126" s="575"/>
      <c r="D1126" s="575"/>
      <c r="E1126" s="576"/>
      <c r="F1126" s="69"/>
      <c r="G1126" s="69"/>
      <c r="H1126" s="178">
        <f t="shared" si="34"/>
        <v>0</v>
      </c>
      <c r="I1126" s="178">
        <f t="shared" si="35"/>
        <v>0</v>
      </c>
      <c r="J1126" s="109"/>
    </row>
    <row r="1127" spans="1:11" hidden="1">
      <c r="A1127" s="1558"/>
      <c r="B1127" s="427"/>
      <c r="C1127" s="575"/>
      <c r="D1127" s="575"/>
      <c r="E1127" s="576"/>
      <c r="F1127" s="69"/>
      <c r="G1127" s="69"/>
      <c r="H1127" s="178">
        <f t="shared" si="34"/>
        <v>0</v>
      </c>
      <c r="I1127" s="178">
        <f t="shared" si="35"/>
        <v>0</v>
      </c>
      <c r="J1127" s="109"/>
    </row>
    <row r="1128" spans="1:11" hidden="1">
      <c r="A1128" s="1558"/>
      <c r="B1128" s="427"/>
      <c r="C1128" s="575"/>
      <c r="D1128" s="575"/>
      <c r="E1128" s="576"/>
      <c r="F1128" s="69"/>
      <c r="G1128" s="69"/>
      <c r="H1128" s="178">
        <f t="shared" si="34"/>
        <v>0</v>
      </c>
      <c r="I1128" s="178">
        <f t="shared" si="35"/>
        <v>0</v>
      </c>
      <c r="J1128" s="109"/>
    </row>
    <row r="1129" spans="1:11" hidden="1">
      <c r="A1129" s="1558"/>
      <c r="B1129" s="427"/>
      <c r="C1129" s="575"/>
      <c r="D1129" s="575"/>
      <c r="E1129" s="576"/>
      <c r="F1129" s="69"/>
      <c r="G1129" s="69"/>
      <c r="H1129" s="178">
        <f t="shared" si="34"/>
        <v>0</v>
      </c>
      <c r="I1129" s="178">
        <f t="shared" si="35"/>
        <v>0</v>
      </c>
      <c r="J1129" s="109"/>
    </row>
    <row r="1130" spans="1:11" hidden="1">
      <c r="A1130" s="1558"/>
      <c r="B1130" s="427"/>
      <c r="C1130" s="575"/>
      <c r="D1130" s="575"/>
      <c r="E1130" s="576"/>
      <c r="F1130" s="69"/>
      <c r="G1130" s="69"/>
      <c r="H1130" s="178">
        <f t="shared" si="34"/>
        <v>0</v>
      </c>
      <c r="I1130" s="178">
        <f t="shared" si="35"/>
        <v>0</v>
      </c>
      <c r="J1130" s="109"/>
    </row>
    <row r="1131" spans="1:11" hidden="1">
      <c r="A1131" s="1558"/>
      <c r="B1131" s="427"/>
      <c r="C1131" s="575"/>
      <c r="D1131" s="575"/>
      <c r="E1131" s="576"/>
      <c r="F1131" s="69"/>
      <c r="G1131" s="69"/>
      <c r="H1131" s="178">
        <f t="shared" si="34"/>
        <v>0</v>
      </c>
      <c r="I1131" s="178">
        <f t="shared" si="35"/>
        <v>0</v>
      </c>
      <c r="J1131" s="109"/>
    </row>
    <row r="1132" spans="1:11" hidden="1">
      <c r="A1132" s="1558"/>
      <c r="B1132" s="427"/>
      <c r="C1132" s="575"/>
      <c r="D1132" s="575"/>
      <c r="E1132" s="576"/>
      <c r="F1132" s="69"/>
      <c r="G1132" s="69"/>
      <c r="H1132" s="178">
        <f t="shared" si="34"/>
        <v>0</v>
      </c>
      <c r="I1132" s="178">
        <f t="shared" si="35"/>
        <v>0</v>
      </c>
      <c r="J1132" s="109"/>
    </row>
    <row r="1133" spans="1:11" hidden="1">
      <c r="A1133" s="1558"/>
      <c r="B1133" s="427"/>
      <c r="C1133" s="575"/>
      <c r="D1133" s="575"/>
      <c r="E1133" s="576"/>
      <c r="F1133" s="69"/>
      <c r="G1133" s="69"/>
      <c r="H1133" s="178">
        <f t="shared" si="34"/>
        <v>0</v>
      </c>
      <c r="I1133" s="178">
        <f t="shared" si="35"/>
        <v>0</v>
      </c>
      <c r="J1133" s="109"/>
    </row>
    <row r="1134" spans="1:11" hidden="1">
      <c r="A1134" s="1558"/>
      <c r="B1134" s="425"/>
      <c r="C1134" s="561"/>
      <c r="D1134" s="561"/>
      <c r="E1134" s="577"/>
      <c r="F1134" s="69"/>
      <c r="G1134" s="69"/>
      <c r="H1134" s="178">
        <f t="shared" si="34"/>
        <v>0</v>
      </c>
      <c r="I1134" s="178">
        <f t="shared" si="35"/>
        <v>0</v>
      </c>
      <c r="J1134" s="109"/>
    </row>
    <row r="1135" spans="1:11" hidden="1">
      <c r="A1135" s="1558"/>
      <c r="B1135" s="425"/>
      <c r="C1135" s="561"/>
      <c r="D1135" s="561"/>
      <c r="E1135" s="577"/>
      <c r="F1135" s="69"/>
      <c r="G1135" s="69"/>
      <c r="H1135" s="178">
        <f t="shared" si="34"/>
        <v>0</v>
      </c>
      <c r="I1135" s="178">
        <f t="shared" si="35"/>
        <v>0</v>
      </c>
      <c r="J1135" s="109"/>
    </row>
    <row r="1136" spans="1:11">
      <c r="A1136" s="1558"/>
      <c r="B1136" s="209" t="s">
        <v>985</v>
      </c>
      <c r="C1136" s="581">
        <f>SUM(C1089:C1135)</f>
        <v>65000</v>
      </c>
      <c r="D1136" s="581">
        <f>SUM(D1089:D1135)</f>
        <v>0</v>
      </c>
      <c r="E1136" s="581">
        <f>SUM(E1089:E1135)</f>
        <v>65000</v>
      </c>
      <c r="F1136" s="115">
        <f>SUM(F1089:F1097)</f>
        <v>0</v>
      </c>
      <c r="G1136" s="115">
        <f>SUM(G1089:G1097)</f>
        <v>0</v>
      </c>
      <c r="H1136" s="1436">
        <f t="shared" si="34"/>
        <v>0</v>
      </c>
      <c r="I1136" s="1436">
        <f t="shared" si="35"/>
        <v>130000</v>
      </c>
      <c r="J1136" s="1439"/>
      <c r="K1136" s="1435"/>
    </row>
    <row r="1137" spans="1:10" hidden="1">
      <c r="A1137" s="1553" t="s">
        <v>353</v>
      </c>
      <c r="B1137" s="369"/>
      <c r="C1137" s="585"/>
      <c r="D1137" s="585"/>
      <c r="E1137" s="585"/>
      <c r="F1137" s="180"/>
      <c r="G1137" s="180"/>
      <c r="H1137" s="178">
        <f t="shared" si="34"/>
        <v>0</v>
      </c>
      <c r="I1137" s="178">
        <f t="shared" si="35"/>
        <v>0</v>
      </c>
      <c r="J1137" s="109"/>
    </row>
    <row r="1138" spans="1:10" hidden="1">
      <c r="A1138" s="1554"/>
      <c r="B1138" s="541"/>
      <c r="C1138" s="542"/>
      <c r="D1138" s="542"/>
      <c r="E1138" s="542"/>
      <c r="F1138" s="69"/>
      <c r="G1138" s="69"/>
      <c r="H1138" s="178">
        <f t="shared" si="34"/>
        <v>0</v>
      </c>
      <c r="I1138" s="178">
        <f t="shared" si="35"/>
        <v>0</v>
      </c>
      <c r="J1138" s="109"/>
    </row>
    <row r="1139" spans="1:10" hidden="1">
      <c r="A1139" s="1554"/>
      <c r="B1139" s="425"/>
      <c r="C1139" s="561"/>
      <c r="D1139" s="561"/>
      <c r="E1139" s="493"/>
      <c r="F1139" s="69"/>
      <c r="G1139" s="69"/>
      <c r="H1139" s="178">
        <f t="shared" si="34"/>
        <v>0</v>
      </c>
      <c r="I1139" s="178">
        <f t="shared" si="35"/>
        <v>0</v>
      </c>
      <c r="J1139" s="109"/>
    </row>
    <row r="1140" spans="1:10" hidden="1">
      <c r="A1140" s="1554"/>
      <c r="B1140" s="425"/>
      <c r="C1140" s="561"/>
      <c r="D1140" s="561"/>
      <c r="E1140" s="493"/>
      <c r="F1140" s="69"/>
      <c r="G1140" s="69"/>
      <c r="H1140" s="178">
        <f t="shared" si="34"/>
        <v>0</v>
      </c>
      <c r="I1140" s="178">
        <f t="shared" si="35"/>
        <v>0</v>
      </c>
      <c r="J1140" s="109"/>
    </row>
    <row r="1141" spans="1:10" hidden="1">
      <c r="A1141" s="1554"/>
      <c r="B1141" s="425"/>
      <c r="C1141" s="561"/>
      <c r="D1141" s="561"/>
      <c r="E1141" s="493"/>
      <c r="F1141" s="69"/>
      <c r="G1141" s="69"/>
      <c r="H1141" s="178">
        <f t="shared" si="34"/>
        <v>0</v>
      </c>
      <c r="I1141" s="178">
        <f t="shared" si="35"/>
        <v>0</v>
      </c>
      <c r="J1141" s="109"/>
    </row>
    <row r="1142" spans="1:10" hidden="1">
      <c r="A1142" s="1554"/>
      <c r="B1142" s="425"/>
      <c r="C1142" s="561"/>
      <c r="D1142" s="561"/>
      <c r="E1142" s="493"/>
      <c r="F1142" s="69"/>
      <c r="G1142" s="69"/>
      <c r="H1142" s="178">
        <f t="shared" si="34"/>
        <v>0</v>
      </c>
      <c r="I1142" s="178">
        <f t="shared" si="35"/>
        <v>0</v>
      </c>
      <c r="J1142" s="109"/>
    </row>
    <row r="1143" spans="1:10" hidden="1">
      <c r="A1143" s="1554"/>
      <c r="B1143" s="425"/>
      <c r="C1143" s="561"/>
      <c r="D1143" s="561"/>
      <c r="E1143" s="493"/>
      <c r="F1143" s="69"/>
      <c r="G1143" s="69"/>
      <c r="H1143" s="178">
        <f t="shared" si="34"/>
        <v>0</v>
      </c>
      <c r="I1143" s="178">
        <f t="shared" si="35"/>
        <v>0</v>
      </c>
      <c r="J1143" s="109"/>
    </row>
    <row r="1144" spans="1:10" hidden="1">
      <c r="A1144" s="1554"/>
      <c r="B1144" s="425"/>
      <c r="C1144" s="561"/>
      <c r="D1144" s="561"/>
      <c r="E1144" s="493"/>
      <c r="F1144" s="69"/>
      <c r="G1144" s="69"/>
      <c r="H1144" s="178">
        <f t="shared" si="34"/>
        <v>0</v>
      </c>
      <c r="I1144" s="178">
        <f t="shared" si="35"/>
        <v>0</v>
      </c>
      <c r="J1144" s="109"/>
    </row>
    <row r="1145" spans="1:10" hidden="1">
      <c r="A1145" s="1554"/>
      <c r="B1145" s="425"/>
      <c r="C1145" s="561"/>
      <c r="D1145" s="561"/>
      <c r="E1145" s="493"/>
      <c r="F1145" s="69"/>
      <c r="G1145" s="69"/>
      <c r="H1145" s="178">
        <f t="shared" si="34"/>
        <v>0</v>
      </c>
      <c r="I1145" s="178">
        <f t="shared" si="35"/>
        <v>0</v>
      </c>
      <c r="J1145" s="109"/>
    </row>
    <row r="1146" spans="1:10" hidden="1">
      <c r="A1146" s="1554"/>
      <c r="B1146" s="425"/>
      <c r="C1146" s="561"/>
      <c r="D1146" s="561"/>
      <c r="E1146" s="493"/>
      <c r="F1146" s="69"/>
      <c r="G1146" s="69"/>
      <c r="H1146" s="178">
        <f t="shared" si="34"/>
        <v>0</v>
      </c>
      <c r="I1146" s="178">
        <f t="shared" si="35"/>
        <v>0</v>
      </c>
      <c r="J1146" s="109"/>
    </row>
    <row r="1147" spans="1:10" hidden="1">
      <c r="A1147" s="1554"/>
      <c r="B1147" s="425"/>
      <c r="C1147" s="561"/>
      <c r="D1147" s="561"/>
      <c r="E1147" s="493"/>
      <c r="F1147" s="69"/>
      <c r="G1147" s="69"/>
      <c r="H1147" s="178">
        <f t="shared" si="34"/>
        <v>0</v>
      </c>
      <c r="I1147" s="178">
        <f t="shared" si="35"/>
        <v>0</v>
      </c>
      <c r="J1147" s="109"/>
    </row>
    <row r="1148" spans="1:10" hidden="1">
      <c r="A1148" s="1554"/>
      <c r="B1148" s="425"/>
      <c r="C1148" s="561"/>
      <c r="D1148" s="561"/>
      <c r="E1148" s="493"/>
      <c r="F1148" s="69"/>
      <c r="G1148" s="69"/>
      <c r="H1148" s="178">
        <f t="shared" si="34"/>
        <v>0</v>
      </c>
      <c r="I1148" s="178">
        <f t="shared" si="35"/>
        <v>0</v>
      </c>
      <c r="J1148" s="109"/>
    </row>
    <row r="1149" spans="1:10" hidden="1">
      <c r="A1149" s="1554"/>
      <c r="B1149" s="425"/>
      <c r="C1149" s="561"/>
      <c r="D1149" s="561"/>
      <c r="E1149" s="493"/>
      <c r="F1149" s="69"/>
      <c r="G1149" s="69"/>
      <c r="H1149" s="178">
        <f t="shared" si="34"/>
        <v>0</v>
      </c>
      <c r="I1149" s="178">
        <f t="shared" si="35"/>
        <v>0</v>
      </c>
      <c r="J1149" s="109"/>
    </row>
    <row r="1150" spans="1:10" hidden="1">
      <c r="A1150" s="1554"/>
      <c r="B1150" s="425"/>
      <c r="C1150" s="561"/>
      <c r="D1150" s="561"/>
      <c r="E1150" s="493"/>
      <c r="F1150" s="69"/>
      <c r="G1150" s="69"/>
      <c r="H1150" s="178">
        <f t="shared" si="34"/>
        <v>0</v>
      </c>
      <c r="I1150" s="178">
        <f t="shared" si="35"/>
        <v>0</v>
      </c>
      <c r="J1150" s="109"/>
    </row>
    <row r="1151" spans="1:10" hidden="1">
      <c r="A1151" s="1554"/>
      <c r="B1151" s="425"/>
      <c r="C1151" s="561"/>
      <c r="D1151" s="561"/>
      <c r="E1151" s="493"/>
      <c r="F1151" s="69"/>
      <c r="G1151" s="69"/>
      <c r="H1151" s="178">
        <f t="shared" si="34"/>
        <v>0</v>
      </c>
      <c r="I1151" s="178">
        <f t="shared" si="35"/>
        <v>0</v>
      </c>
      <c r="J1151" s="109"/>
    </row>
    <row r="1152" spans="1:10" hidden="1">
      <c r="A1152" s="1554"/>
      <c r="B1152" s="425"/>
      <c r="C1152" s="561"/>
      <c r="D1152" s="561"/>
      <c r="E1152" s="561"/>
      <c r="F1152" s="69"/>
      <c r="G1152" s="69"/>
      <c r="H1152" s="178">
        <f t="shared" si="34"/>
        <v>0</v>
      </c>
      <c r="I1152" s="178">
        <f t="shared" si="35"/>
        <v>0</v>
      </c>
      <c r="J1152" s="109"/>
    </row>
    <row r="1153" spans="1:10" hidden="1">
      <c r="A1153" s="1554"/>
      <c r="B1153" s="425"/>
      <c r="C1153" s="561"/>
      <c r="D1153" s="561"/>
      <c r="E1153" s="493"/>
      <c r="F1153" s="69"/>
      <c r="G1153" s="69"/>
      <c r="H1153" s="178">
        <f t="shared" si="34"/>
        <v>0</v>
      </c>
      <c r="I1153" s="178">
        <f t="shared" si="35"/>
        <v>0</v>
      </c>
      <c r="J1153" s="109"/>
    </row>
    <row r="1154" spans="1:10" hidden="1">
      <c r="A1154" s="1554"/>
      <c r="B1154" s="425"/>
      <c r="C1154" s="561"/>
      <c r="D1154" s="561"/>
      <c r="E1154" s="493"/>
      <c r="F1154" s="69"/>
      <c r="G1154" s="69"/>
      <c r="H1154" s="178">
        <f t="shared" si="34"/>
        <v>0</v>
      </c>
      <c r="I1154" s="178">
        <f t="shared" si="35"/>
        <v>0</v>
      </c>
      <c r="J1154" s="109"/>
    </row>
    <row r="1155" spans="1:10" hidden="1">
      <c r="A1155" s="1554"/>
      <c r="B1155" s="425"/>
      <c r="C1155" s="561"/>
      <c r="D1155" s="561"/>
      <c r="E1155" s="561"/>
      <c r="F1155" s="69"/>
      <c r="G1155" s="69"/>
      <c r="H1155" s="178">
        <f t="shared" si="34"/>
        <v>0</v>
      </c>
      <c r="I1155" s="178">
        <f t="shared" si="35"/>
        <v>0</v>
      </c>
      <c r="J1155" s="109"/>
    </row>
    <row r="1156" spans="1:10" hidden="1">
      <c r="A1156" s="1554"/>
      <c r="B1156" s="425"/>
      <c r="C1156" s="561"/>
      <c r="D1156" s="561"/>
      <c r="E1156" s="561"/>
      <c r="F1156" s="69"/>
      <c r="G1156" s="69"/>
      <c r="H1156" s="178">
        <f t="shared" si="34"/>
        <v>0</v>
      </c>
      <c r="I1156" s="178">
        <f t="shared" si="35"/>
        <v>0</v>
      </c>
      <c r="J1156" s="109"/>
    </row>
    <row r="1157" spans="1:10" hidden="1">
      <c r="A1157" s="1554"/>
      <c r="B1157" s="425"/>
      <c r="C1157" s="561"/>
      <c r="D1157" s="561"/>
      <c r="E1157" s="493"/>
      <c r="F1157" s="69"/>
      <c r="G1157" s="69"/>
      <c r="H1157" s="178">
        <f t="shared" si="34"/>
        <v>0</v>
      </c>
      <c r="I1157" s="178">
        <f t="shared" si="35"/>
        <v>0</v>
      </c>
      <c r="J1157" s="109"/>
    </row>
    <row r="1158" spans="1:10" hidden="1">
      <c r="A1158" s="1554"/>
      <c r="B1158" s="425"/>
      <c r="C1158" s="561"/>
      <c r="D1158" s="561"/>
      <c r="E1158" s="493"/>
      <c r="F1158" s="69"/>
      <c r="G1158" s="69"/>
      <c r="H1158" s="178">
        <f t="shared" si="34"/>
        <v>0</v>
      </c>
      <c r="I1158" s="178">
        <f t="shared" si="35"/>
        <v>0</v>
      </c>
      <c r="J1158" s="109"/>
    </row>
    <row r="1159" spans="1:10" hidden="1">
      <c r="A1159" s="1554"/>
      <c r="B1159" s="425"/>
      <c r="C1159" s="561"/>
      <c r="D1159" s="561"/>
      <c r="E1159" s="561"/>
      <c r="F1159" s="69"/>
      <c r="G1159" s="69"/>
      <c r="H1159" s="178">
        <f t="shared" si="34"/>
        <v>0</v>
      </c>
      <c r="I1159" s="178">
        <f t="shared" si="35"/>
        <v>0</v>
      </c>
      <c r="J1159" s="109"/>
    </row>
    <row r="1160" spans="1:10" hidden="1">
      <c r="A1160" s="1554"/>
      <c r="B1160" s="425"/>
      <c r="C1160" s="561"/>
      <c r="D1160" s="561"/>
      <c r="E1160" s="561"/>
      <c r="F1160" s="69"/>
      <c r="G1160" s="69"/>
      <c r="H1160" s="178">
        <f t="shared" si="34"/>
        <v>0</v>
      </c>
      <c r="I1160" s="178">
        <f t="shared" si="35"/>
        <v>0</v>
      </c>
      <c r="J1160" s="109"/>
    </row>
    <row r="1161" spans="1:10" hidden="1">
      <c r="A1161" s="1554"/>
      <c r="B1161" s="425"/>
      <c r="C1161" s="561"/>
      <c r="D1161" s="561"/>
      <c r="E1161" s="561"/>
      <c r="F1161" s="69"/>
      <c r="G1161" s="69"/>
      <c r="H1161" s="178">
        <f t="shared" ref="H1161:H1224" si="36">E1161+D1161-C1161</f>
        <v>0</v>
      </c>
      <c r="I1161" s="178">
        <f t="shared" ref="I1161:I1224" si="37">SUM(C1161:E1161)</f>
        <v>0</v>
      </c>
      <c r="J1161" s="109"/>
    </row>
    <row r="1162" spans="1:10" hidden="1">
      <c r="A1162" s="1554"/>
      <c r="B1162" s="425"/>
      <c r="C1162" s="561"/>
      <c r="D1162" s="561"/>
      <c r="E1162" s="493"/>
      <c r="F1162" s="69"/>
      <c r="G1162" s="69"/>
      <c r="H1162" s="178">
        <f t="shared" si="36"/>
        <v>0</v>
      </c>
      <c r="I1162" s="178">
        <f t="shared" si="37"/>
        <v>0</v>
      </c>
      <c r="J1162" s="109"/>
    </row>
    <row r="1163" spans="1:10" hidden="1">
      <c r="A1163" s="1554"/>
      <c r="B1163" s="425"/>
      <c r="C1163" s="493"/>
      <c r="D1163" s="493"/>
      <c r="E1163" s="493"/>
      <c r="F1163" s="69"/>
      <c r="G1163" s="69"/>
      <c r="H1163" s="178">
        <f t="shared" si="36"/>
        <v>0</v>
      </c>
      <c r="I1163" s="178">
        <f t="shared" si="37"/>
        <v>0</v>
      </c>
      <c r="J1163" s="109"/>
    </row>
    <row r="1164" spans="1:10" hidden="1">
      <c r="A1164" s="1554"/>
      <c r="B1164" s="425"/>
      <c r="C1164" s="493"/>
      <c r="D1164" s="493"/>
      <c r="E1164" s="493"/>
      <c r="F1164" s="69"/>
      <c r="G1164" s="69"/>
      <c r="H1164" s="178">
        <f t="shared" si="36"/>
        <v>0</v>
      </c>
      <c r="I1164" s="178">
        <f t="shared" si="37"/>
        <v>0</v>
      </c>
      <c r="J1164" s="109"/>
    </row>
    <row r="1165" spans="1:10" hidden="1">
      <c r="A1165" s="1554"/>
      <c r="B1165" s="425"/>
      <c r="C1165" s="493"/>
      <c r="D1165" s="493"/>
      <c r="E1165" s="493"/>
      <c r="F1165" s="69"/>
      <c r="G1165" s="69"/>
      <c r="H1165" s="178">
        <f t="shared" si="36"/>
        <v>0</v>
      </c>
      <c r="I1165" s="178">
        <f t="shared" si="37"/>
        <v>0</v>
      </c>
      <c r="J1165" s="109"/>
    </row>
    <row r="1166" spans="1:10" hidden="1">
      <c r="A1166" s="1554"/>
      <c r="B1166" s="425"/>
      <c r="C1166" s="493"/>
      <c r="D1166" s="493"/>
      <c r="E1166" s="493"/>
      <c r="F1166" s="69"/>
      <c r="G1166" s="69"/>
      <c r="H1166" s="178">
        <f t="shared" si="36"/>
        <v>0</v>
      </c>
      <c r="I1166" s="178">
        <f t="shared" si="37"/>
        <v>0</v>
      </c>
      <c r="J1166" s="109"/>
    </row>
    <row r="1167" spans="1:10" hidden="1">
      <c r="A1167" s="1554"/>
      <c r="B1167" s="425"/>
      <c r="C1167" s="493"/>
      <c r="D1167" s="493"/>
      <c r="E1167" s="493"/>
      <c r="F1167" s="69"/>
      <c r="G1167" s="69"/>
      <c r="H1167" s="178">
        <f t="shared" si="36"/>
        <v>0</v>
      </c>
      <c r="I1167" s="178">
        <f t="shared" si="37"/>
        <v>0</v>
      </c>
      <c r="J1167" s="109"/>
    </row>
    <row r="1168" spans="1:10" hidden="1">
      <c r="A1168" s="1554"/>
      <c r="B1168" s="425"/>
      <c r="C1168" s="493"/>
      <c r="D1168" s="493"/>
      <c r="E1168" s="493"/>
      <c r="F1168" s="69"/>
      <c r="G1168" s="69"/>
      <c r="H1168" s="178">
        <f t="shared" si="36"/>
        <v>0</v>
      </c>
      <c r="I1168" s="178">
        <f t="shared" si="37"/>
        <v>0</v>
      </c>
      <c r="J1168" s="109"/>
    </row>
    <row r="1169" spans="1:10" hidden="1">
      <c r="A1169" s="1554"/>
      <c r="B1169" s="425"/>
      <c r="C1169" s="578"/>
      <c r="D1169" s="578"/>
      <c r="E1169" s="580"/>
      <c r="F1169" s="69"/>
      <c r="G1169" s="69"/>
      <c r="H1169" s="178">
        <f t="shared" si="36"/>
        <v>0</v>
      </c>
      <c r="I1169" s="178">
        <f t="shared" si="37"/>
        <v>0</v>
      </c>
      <c r="J1169" s="109"/>
    </row>
    <row r="1170" spans="1:10" hidden="1">
      <c r="A1170" s="1554"/>
      <c r="B1170" s="425"/>
      <c r="C1170" s="578"/>
      <c r="D1170" s="578"/>
      <c r="E1170" s="580"/>
      <c r="F1170" s="69"/>
      <c r="G1170" s="69"/>
      <c r="H1170" s="178">
        <f t="shared" si="36"/>
        <v>0</v>
      </c>
      <c r="I1170" s="178">
        <f t="shared" si="37"/>
        <v>0</v>
      </c>
      <c r="J1170" s="109"/>
    </row>
    <row r="1171" spans="1:10" hidden="1">
      <c r="A1171" s="1554"/>
      <c r="B1171" s="425"/>
      <c r="C1171" s="578"/>
      <c r="D1171" s="578"/>
      <c r="E1171" s="580"/>
      <c r="F1171" s="69"/>
      <c r="G1171" s="69"/>
      <c r="H1171" s="178">
        <f t="shared" si="36"/>
        <v>0</v>
      </c>
      <c r="I1171" s="178">
        <f t="shared" si="37"/>
        <v>0</v>
      </c>
      <c r="J1171" s="109"/>
    </row>
    <row r="1172" spans="1:10" hidden="1">
      <c r="A1172" s="1554"/>
      <c r="B1172" s="425"/>
      <c r="C1172" s="578"/>
      <c r="D1172" s="578"/>
      <c r="E1172" s="580"/>
      <c r="F1172" s="69"/>
      <c r="G1172" s="69"/>
      <c r="H1172" s="178">
        <f t="shared" si="36"/>
        <v>0</v>
      </c>
      <c r="I1172" s="178">
        <f t="shared" si="37"/>
        <v>0</v>
      </c>
      <c r="J1172" s="109"/>
    </row>
    <row r="1173" spans="1:10" hidden="1">
      <c r="A1173" s="1554"/>
      <c r="B1173" s="425"/>
      <c r="C1173" s="578"/>
      <c r="D1173" s="578"/>
      <c r="E1173" s="580"/>
      <c r="F1173" s="69"/>
      <c r="G1173" s="69"/>
      <c r="H1173" s="178">
        <f t="shared" si="36"/>
        <v>0</v>
      </c>
      <c r="I1173" s="178">
        <f t="shared" si="37"/>
        <v>0</v>
      </c>
      <c r="J1173" s="109"/>
    </row>
    <row r="1174" spans="1:10" hidden="1">
      <c r="A1174" s="1554"/>
      <c r="B1174" s="425"/>
      <c r="C1174" s="578"/>
      <c r="D1174" s="578"/>
      <c r="E1174" s="580"/>
      <c r="F1174" s="69"/>
      <c r="G1174" s="69"/>
      <c r="H1174" s="178">
        <f t="shared" si="36"/>
        <v>0</v>
      </c>
      <c r="I1174" s="178">
        <f t="shared" si="37"/>
        <v>0</v>
      </c>
      <c r="J1174" s="109"/>
    </row>
    <row r="1175" spans="1:10" hidden="1">
      <c r="A1175" s="1554"/>
      <c r="B1175" s="425"/>
      <c r="C1175" s="578"/>
      <c r="D1175" s="578"/>
      <c r="E1175" s="580"/>
      <c r="F1175" s="69"/>
      <c r="G1175" s="69"/>
      <c r="H1175" s="178">
        <f t="shared" si="36"/>
        <v>0</v>
      </c>
      <c r="I1175" s="178">
        <f t="shared" si="37"/>
        <v>0</v>
      </c>
      <c r="J1175" s="109"/>
    </row>
    <row r="1176" spans="1:10" hidden="1">
      <c r="A1176" s="1554"/>
      <c r="B1176" s="425"/>
      <c r="C1176" s="578"/>
      <c r="D1176" s="578"/>
      <c r="E1176" s="580"/>
      <c r="F1176" s="69"/>
      <c r="G1176" s="69"/>
      <c r="H1176" s="178">
        <f t="shared" si="36"/>
        <v>0</v>
      </c>
      <c r="I1176" s="178">
        <f t="shared" si="37"/>
        <v>0</v>
      </c>
      <c r="J1176" s="109"/>
    </row>
    <row r="1177" spans="1:10" hidden="1">
      <c r="A1177" s="1554"/>
      <c r="B1177" s="425"/>
      <c r="C1177" s="578"/>
      <c r="D1177" s="578"/>
      <c r="E1177" s="580"/>
      <c r="F1177" s="69"/>
      <c r="G1177" s="69"/>
      <c r="H1177" s="178">
        <f t="shared" si="36"/>
        <v>0</v>
      </c>
      <c r="I1177" s="178">
        <f t="shared" si="37"/>
        <v>0</v>
      </c>
      <c r="J1177" s="109"/>
    </row>
    <row r="1178" spans="1:10" hidden="1">
      <c r="A1178" s="1554"/>
      <c r="B1178" s="425"/>
      <c r="C1178" s="578"/>
      <c r="D1178" s="578"/>
      <c r="E1178" s="580"/>
      <c r="F1178" s="69"/>
      <c r="G1178" s="69"/>
      <c r="H1178" s="178">
        <f t="shared" si="36"/>
        <v>0</v>
      </c>
      <c r="I1178" s="178">
        <f t="shared" si="37"/>
        <v>0</v>
      </c>
      <c r="J1178" s="109"/>
    </row>
    <row r="1179" spans="1:10" hidden="1">
      <c r="A1179" s="1554"/>
      <c r="B1179" s="425"/>
      <c r="C1179" s="578"/>
      <c r="D1179" s="578"/>
      <c r="E1179" s="580"/>
      <c r="F1179" s="69"/>
      <c r="G1179" s="69"/>
      <c r="H1179" s="178">
        <f t="shared" si="36"/>
        <v>0</v>
      </c>
      <c r="I1179" s="178">
        <f t="shared" si="37"/>
        <v>0</v>
      </c>
      <c r="J1179" s="109"/>
    </row>
    <row r="1180" spans="1:10" hidden="1">
      <c r="A1180" s="1554"/>
      <c r="B1180" s="425"/>
      <c r="C1180" s="578"/>
      <c r="D1180" s="578"/>
      <c r="E1180" s="580"/>
      <c r="F1180" s="69"/>
      <c r="G1180" s="69"/>
      <c r="H1180" s="178">
        <f t="shared" si="36"/>
        <v>0</v>
      </c>
      <c r="I1180" s="178">
        <f t="shared" si="37"/>
        <v>0</v>
      </c>
      <c r="J1180" s="109"/>
    </row>
    <row r="1181" spans="1:10" hidden="1">
      <c r="A1181" s="1554"/>
      <c r="B1181" s="425"/>
      <c r="C1181" s="578"/>
      <c r="D1181" s="578"/>
      <c r="E1181" s="580"/>
      <c r="F1181" s="69"/>
      <c r="G1181" s="69"/>
      <c r="H1181" s="178">
        <f t="shared" si="36"/>
        <v>0</v>
      </c>
      <c r="I1181" s="178">
        <f t="shared" si="37"/>
        <v>0</v>
      </c>
      <c r="J1181" s="109"/>
    </row>
    <row r="1182" spans="1:10" hidden="1">
      <c r="A1182" s="1554"/>
      <c r="B1182" s="425"/>
      <c r="C1182" s="578"/>
      <c r="D1182" s="578"/>
      <c r="E1182" s="580"/>
      <c r="F1182" s="69"/>
      <c r="G1182" s="69"/>
      <c r="H1182" s="178">
        <f t="shared" si="36"/>
        <v>0</v>
      </c>
      <c r="I1182" s="178">
        <f t="shared" si="37"/>
        <v>0</v>
      </c>
      <c r="J1182" s="109"/>
    </row>
    <row r="1183" spans="1:10" hidden="1">
      <c r="A1183" s="1554"/>
      <c r="B1183" s="425"/>
      <c r="C1183" s="578"/>
      <c r="D1183" s="578"/>
      <c r="E1183" s="580"/>
      <c r="F1183" s="69"/>
      <c r="G1183" s="69"/>
      <c r="H1183" s="178">
        <f t="shared" si="36"/>
        <v>0</v>
      </c>
      <c r="I1183" s="178">
        <f t="shared" si="37"/>
        <v>0</v>
      </c>
      <c r="J1183" s="109"/>
    </row>
    <row r="1184" spans="1:10" hidden="1">
      <c r="A1184" s="1554"/>
      <c r="B1184" s="425"/>
      <c r="C1184" s="578"/>
      <c r="D1184" s="578"/>
      <c r="E1184" s="580"/>
      <c r="F1184" s="69"/>
      <c r="G1184" s="69"/>
      <c r="H1184" s="178">
        <f t="shared" si="36"/>
        <v>0</v>
      </c>
      <c r="I1184" s="178">
        <f t="shared" si="37"/>
        <v>0</v>
      </c>
      <c r="J1184" s="109"/>
    </row>
    <row r="1185" spans="1:10" hidden="1">
      <c r="A1185" s="1554"/>
      <c r="B1185" s="425"/>
      <c r="C1185" s="578"/>
      <c r="D1185" s="578"/>
      <c r="E1185" s="580"/>
      <c r="F1185" s="69"/>
      <c r="G1185" s="69"/>
      <c r="H1185" s="178">
        <f t="shared" si="36"/>
        <v>0</v>
      </c>
      <c r="I1185" s="178">
        <f t="shared" si="37"/>
        <v>0</v>
      </c>
      <c r="J1185" s="109"/>
    </row>
    <row r="1186" spans="1:10" hidden="1">
      <c r="A1186" s="1554"/>
      <c r="B1186" s="425"/>
      <c r="C1186" s="578"/>
      <c r="D1186" s="578"/>
      <c r="E1186" s="580"/>
      <c r="F1186" s="69"/>
      <c r="G1186" s="69"/>
      <c r="H1186" s="178">
        <f t="shared" si="36"/>
        <v>0</v>
      </c>
      <c r="I1186" s="178">
        <f t="shared" si="37"/>
        <v>0</v>
      </c>
      <c r="J1186" s="109"/>
    </row>
    <row r="1187" spans="1:10" hidden="1">
      <c r="A1187" s="1554"/>
      <c r="B1187" s="425"/>
      <c r="C1187" s="578"/>
      <c r="D1187" s="578"/>
      <c r="E1187" s="580"/>
      <c r="F1187" s="69"/>
      <c r="G1187" s="69"/>
      <c r="H1187" s="178">
        <f t="shared" si="36"/>
        <v>0</v>
      </c>
      <c r="I1187" s="178">
        <f t="shared" si="37"/>
        <v>0</v>
      </c>
      <c r="J1187" s="109"/>
    </row>
    <row r="1188" spans="1:10" hidden="1">
      <c r="A1188" s="1554"/>
      <c r="B1188" s="425"/>
      <c r="C1188" s="578"/>
      <c r="D1188" s="578"/>
      <c r="E1188" s="580"/>
      <c r="F1188" s="69"/>
      <c r="G1188" s="69"/>
      <c r="H1188" s="178">
        <f t="shared" si="36"/>
        <v>0</v>
      </c>
      <c r="I1188" s="178">
        <f t="shared" si="37"/>
        <v>0</v>
      </c>
      <c r="J1188" s="109"/>
    </row>
    <row r="1189" spans="1:10" hidden="1">
      <c r="A1189" s="1554"/>
      <c r="B1189" s="425"/>
      <c r="C1189" s="578"/>
      <c r="D1189" s="578"/>
      <c r="E1189" s="580"/>
      <c r="F1189" s="69"/>
      <c r="G1189" s="69"/>
      <c r="H1189" s="178">
        <f t="shared" si="36"/>
        <v>0</v>
      </c>
      <c r="I1189" s="178">
        <f t="shared" si="37"/>
        <v>0</v>
      </c>
      <c r="J1189" s="109"/>
    </row>
    <row r="1190" spans="1:10" hidden="1">
      <c r="A1190" s="1554"/>
      <c r="B1190" s="425"/>
      <c r="C1190" s="578"/>
      <c r="D1190" s="578"/>
      <c r="E1190" s="580"/>
      <c r="F1190" s="69"/>
      <c r="G1190" s="69"/>
      <c r="H1190" s="178">
        <f t="shared" si="36"/>
        <v>0</v>
      </c>
      <c r="I1190" s="178">
        <f t="shared" si="37"/>
        <v>0</v>
      </c>
      <c r="J1190" s="109"/>
    </row>
    <row r="1191" spans="1:10" hidden="1">
      <c r="A1191" s="1554"/>
      <c r="B1191" s="425"/>
      <c r="C1191" s="578"/>
      <c r="D1191" s="578"/>
      <c r="E1191" s="580"/>
      <c r="F1191" s="69"/>
      <c r="G1191" s="69"/>
      <c r="H1191" s="178">
        <f t="shared" si="36"/>
        <v>0</v>
      </c>
      <c r="I1191" s="178">
        <f t="shared" si="37"/>
        <v>0</v>
      </c>
      <c r="J1191" s="109"/>
    </row>
    <row r="1192" spans="1:10" hidden="1">
      <c r="A1192" s="1554"/>
      <c r="B1192" s="425"/>
      <c r="C1192" s="578"/>
      <c r="D1192" s="578"/>
      <c r="E1192" s="580"/>
      <c r="F1192" s="69"/>
      <c r="G1192" s="69"/>
      <c r="H1192" s="178">
        <f t="shared" si="36"/>
        <v>0</v>
      </c>
      <c r="I1192" s="178">
        <f t="shared" si="37"/>
        <v>0</v>
      </c>
      <c r="J1192" s="109"/>
    </row>
    <row r="1193" spans="1:10" hidden="1">
      <c r="A1193" s="1554"/>
      <c r="B1193" s="425"/>
      <c r="C1193" s="578"/>
      <c r="D1193" s="578"/>
      <c r="E1193" s="580"/>
      <c r="F1193" s="69"/>
      <c r="G1193" s="69"/>
      <c r="H1193" s="178">
        <f t="shared" si="36"/>
        <v>0</v>
      </c>
      <c r="I1193" s="178">
        <f t="shared" si="37"/>
        <v>0</v>
      </c>
      <c r="J1193" s="109"/>
    </row>
    <row r="1194" spans="1:10" hidden="1">
      <c r="A1194" s="1554"/>
      <c r="B1194" s="425"/>
      <c r="C1194" s="578"/>
      <c r="D1194" s="578"/>
      <c r="E1194" s="580"/>
      <c r="F1194" s="69"/>
      <c r="G1194" s="69"/>
      <c r="H1194" s="178">
        <f t="shared" si="36"/>
        <v>0</v>
      </c>
      <c r="I1194" s="178">
        <f t="shared" si="37"/>
        <v>0</v>
      </c>
      <c r="J1194" s="109"/>
    </row>
    <row r="1195" spans="1:10" hidden="1">
      <c r="A1195" s="1554"/>
      <c r="B1195" s="425"/>
      <c r="C1195" s="578"/>
      <c r="D1195" s="578"/>
      <c r="E1195" s="580"/>
      <c r="F1195" s="69"/>
      <c r="G1195" s="69"/>
      <c r="H1195" s="178">
        <f t="shared" si="36"/>
        <v>0</v>
      </c>
      <c r="I1195" s="178">
        <f t="shared" si="37"/>
        <v>0</v>
      </c>
      <c r="J1195" s="109"/>
    </row>
    <row r="1196" spans="1:10" hidden="1">
      <c r="A1196" s="1554"/>
      <c r="B1196" s="425"/>
      <c r="C1196" s="578"/>
      <c r="D1196" s="578"/>
      <c r="E1196" s="580"/>
      <c r="F1196" s="69"/>
      <c r="G1196" s="69"/>
      <c r="H1196" s="178">
        <f t="shared" si="36"/>
        <v>0</v>
      </c>
      <c r="I1196" s="178">
        <f t="shared" si="37"/>
        <v>0</v>
      </c>
      <c r="J1196" s="109"/>
    </row>
    <row r="1197" spans="1:10" hidden="1">
      <c r="A1197" s="1554"/>
      <c r="B1197" s="425"/>
      <c r="C1197" s="578"/>
      <c r="D1197" s="578"/>
      <c r="E1197" s="580"/>
      <c r="F1197" s="69"/>
      <c r="G1197" s="69"/>
      <c r="H1197" s="178">
        <f t="shared" si="36"/>
        <v>0</v>
      </c>
      <c r="I1197" s="178">
        <f t="shared" si="37"/>
        <v>0</v>
      </c>
      <c r="J1197" s="109"/>
    </row>
    <row r="1198" spans="1:10" hidden="1">
      <c r="A1198" s="1554"/>
      <c r="B1198" s="425"/>
      <c r="C1198" s="578"/>
      <c r="D1198" s="578"/>
      <c r="E1198" s="580"/>
      <c r="F1198" s="69"/>
      <c r="G1198" s="69"/>
      <c r="H1198" s="178">
        <f t="shared" si="36"/>
        <v>0</v>
      </c>
      <c r="I1198" s="178">
        <f t="shared" si="37"/>
        <v>0</v>
      </c>
      <c r="J1198" s="109"/>
    </row>
    <row r="1199" spans="1:10" hidden="1">
      <c r="A1199" s="1554"/>
      <c r="B1199" s="425"/>
      <c r="C1199" s="578"/>
      <c r="D1199" s="578"/>
      <c r="E1199" s="580"/>
      <c r="F1199" s="69"/>
      <c r="G1199" s="69"/>
      <c r="H1199" s="178">
        <f t="shared" si="36"/>
        <v>0</v>
      </c>
      <c r="I1199" s="178">
        <f t="shared" si="37"/>
        <v>0</v>
      </c>
      <c r="J1199" s="109"/>
    </row>
    <row r="1200" spans="1:10" hidden="1">
      <c r="A1200" s="1554"/>
      <c r="B1200" s="425"/>
      <c r="C1200" s="578"/>
      <c r="D1200" s="578"/>
      <c r="E1200" s="580"/>
      <c r="F1200" s="69"/>
      <c r="G1200" s="69"/>
      <c r="H1200" s="178">
        <f t="shared" si="36"/>
        <v>0</v>
      </c>
      <c r="I1200" s="178">
        <f t="shared" si="37"/>
        <v>0</v>
      </c>
      <c r="J1200" s="109"/>
    </row>
    <row r="1201" spans="1:10" hidden="1">
      <c r="A1201" s="1554"/>
      <c r="B1201" s="425"/>
      <c r="C1201" s="578"/>
      <c r="D1201" s="578"/>
      <c r="E1201" s="580"/>
      <c r="F1201" s="69"/>
      <c r="G1201" s="69"/>
      <c r="H1201" s="178">
        <f t="shared" si="36"/>
        <v>0</v>
      </c>
      <c r="I1201" s="178">
        <f t="shared" si="37"/>
        <v>0</v>
      </c>
      <c r="J1201" s="109"/>
    </row>
    <row r="1202" spans="1:10" hidden="1">
      <c r="A1202" s="1554"/>
      <c r="B1202" s="425"/>
      <c r="C1202" s="578"/>
      <c r="D1202" s="578"/>
      <c r="E1202" s="580"/>
      <c r="F1202" s="69"/>
      <c r="G1202" s="69"/>
      <c r="H1202" s="178">
        <f t="shared" si="36"/>
        <v>0</v>
      </c>
      <c r="I1202" s="178">
        <f t="shared" si="37"/>
        <v>0</v>
      </c>
      <c r="J1202" s="109"/>
    </row>
    <row r="1203" spans="1:10" hidden="1">
      <c r="A1203" s="1554"/>
      <c r="B1203" s="425"/>
      <c r="C1203" s="578"/>
      <c r="D1203" s="578"/>
      <c r="E1203" s="580"/>
      <c r="F1203" s="69"/>
      <c r="G1203" s="69"/>
      <c r="H1203" s="178">
        <f t="shared" si="36"/>
        <v>0</v>
      </c>
      <c r="I1203" s="178">
        <f t="shared" si="37"/>
        <v>0</v>
      </c>
      <c r="J1203" s="109"/>
    </row>
    <row r="1204" spans="1:10" hidden="1">
      <c r="A1204" s="1554"/>
      <c r="B1204" s="425"/>
      <c r="C1204" s="578"/>
      <c r="D1204" s="578"/>
      <c r="E1204" s="580"/>
      <c r="F1204" s="69"/>
      <c r="G1204" s="69"/>
      <c r="H1204" s="178">
        <f t="shared" si="36"/>
        <v>0</v>
      </c>
      <c r="I1204" s="178">
        <f t="shared" si="37"/>
        <v>0</v>
      </c>
      <c r="J1204" s="109"/>
    </row>
    <row r="1205" spans="1:10" hidden="1">
      <c r="A1205" s="1554"/>
      <c r="B1205" s="425"/>
      <c r="C1205" s="578"/>
      <c r="D1205" s="578"/>
      <c r="E1205" s="580"/>
      <c r="F1205" s="69"/>
      <c r="G1205" s="69"/>
      <c r="H1205" s="178">
        <f t="shared" si="36"/>
        <v>0</v>
      </c>
      <c r="I1205" s="178">
        <f t="shared" si="37"/>
        <v>0</v>
      </c>
      <c r="J1205" s="109"/>
    </row>
    <row r="1206" spans="1:10" hidden="1">
      <c r="A1206" s="1554"/>
      <c r="B1206" s="425"/>
      <c r="C1206" s="578"/>
      <c r="D1206" s="578"/>
      <c r="E1206" s="580"/>
      <c r="F1206" s="69"/>
      <c r="G1206" s="69"/>
      <c r="H1206" s="178">
        <f t="shared" si="36"/>
        <v>0</v>
      </c>
      <c r="I1206" s="178">
        <f t="shared" si="37"/>
        <v>0</v>
      </c>
      <c r="J1206" s="109"/>
    </row>
    <row r="1207" spans="1:10" hidden="1">
      <c r="A1207" s="1554"/>
      <c r="B1207" s="425"/>
      <c r="C1207" s="578"/>
      <c r="D1207" s="578"/>
      <c r="E1207" s="580"/>
      <c r="F1207" s="69"/>
      <c r="G1207" s="69"/>
      <c r="H1207" s="178">
        <f t="shared" si="36"/>
        <v>0</v>
      </c>
      <c r="I1207" s="178">
        <f t="shared" si="37"/>
        <v>0</v>
      </c>
      <c r="J1207" s="109"/>
    </row>
    <row r="1208" spans="1:10" hidden="1">
      <c r="A1208" s="1554"/>
      <c r="B1208" s="425"/>
      <c r="C1208" s="578"/>
      <c r="D1208" s="578"/>
      <c r="E1208" s="580"/>
      <c r="F1208" s="69"/>
      <c r="G1208" s="69"/>
      <c r="H1208" s="178">
        <f t="shared" si="36"/>
        <v>0</v>
      </c>
      <c r="I1208" s="178">
        <f t="shared" si="37"/>
        <v>0</v>
      </c>
      <c r="J1208" s="109"/>
    </row>
    <row r="1209" spans="1:10" hidden="1">
      <c r="A1209" s="1554"/>
      <c r="B1209" s="425"/>
      <c r="C1209" s="578"/>
      <c r="D1209" s="578"/>
      <c r="E1209" s="580"/>
      <c r="F1209" s="69"/>
      <c r="G1209" s="69"/>
      <c r="H1209" s="178">
        <f t="shared" si="36"/>
        <v>0</v>
      </c>
      <c r="I1209" s="178">
        <f t="shared" si="37"/>
        <v>0</v>
      </c>
      <c r="J1209" s="109"/>
    </row>
    <row r="1210" spans="1:10" hidden="1">
      <c r="A1210" s="1554"/>
      <c r="B1210" s="425"/>
      <c r="C1210" s="578"/>
      <c r="D1210" s="578"/>
      <c r="E1210" s="580"/>
      <c r="F1210" s="69"/>
      <c r="G1210" s="69"/>
      <c r="H1210" s="178">
        <f t="shared" si="36"/>
        <v>0</v>
      </c>
      <c r="I1210" s="178">
        <f t="shared" si="37"/>
        <v>0</v>
      </c>
      <c r="J1210" s="109"/>
    </row>
    <row r="1211" spans="1:10" hidden="1">
      <c r="A1211" s="1554"/>
      <c r="B1211" s="425"/>
      <c r="C1211" s="578"/>
      <c r="D1211" s="578"/>
      <c r="E1211" s="580"/>
      <c r="F1211" s="69"/>
      <c r="G1211" s="69"/>
      <c r="H1211" s="178">
        <f t="shared" si="36"/>
        <v>0</v>
      </c>
      <c r="I1211" s="178">
        <f t="shared" si="37"/>
        <v>0</v>
      </c>
      <c r="J1211" s="109"/>
    </row>
    <row r="1212" spans="1:10" hidden="1">
      <c r="A1212" s="1554"/>
      <c r="B1212" s="425"/>
      <c r="C1212" s="578"/>
      <c r="D1212" s="578"/>
      <c r="E1212" s="580"/>
      <c r="F1212" s="69"/>
      <c r="G1212" s="69"/>
      <c r="H1212" s="178">
        <f t="shared" si="36"/>
        <v>0</v>
      </c>
      <c r="I1212" s="178">
        <f t="shared" si="37"/>
        <v>0</v>
      </c>
      <c r="J1212" s="109"/>
    </row>
    <row r="1213" spans="1:10" hidden="1">
      <c r="A1213" s="1554"/>
      <c r="B1213" s="425"/>
      <c r="C1213" s="578"/>
      <c r="D1213" s="578"/>
      <c r="E1213" s="580"/>
      <c r="F1213" s="69"/>
      <c r="G1213" s="69"/>
      <c r="H1213" s="178">
        <f t="shared" si="36"/>
        <v>0</v>
      </c>
      <c r="I1213" s="178">
        <f t="shared" si="37"/>
        <v>0</v>
      </c>
      <c r="J1213" s="109"/>
    </row>
    <row r="1214" spans="1:10" hidden="1">
      <c r="A1214" s="1554"/>
      <c r="B1214" s="425"/>
      <c r="C1214" s="561"/>
      <c r="D1214" s="561"/>
      <c r="E1214" s="561"/>
      <c r="F1214" s="69"/>
      <c r="G1214" s="69"/>
      <c r="H1214" s="178">
        <f t="shared" si="36"/>
        <v>0</v>
      </c>
      <c r="I1214" s="178">
        <f t="shared" si="37"/>
        <v>0</v>
      </c>
      <c r="J1214" s="109"/>
    </row>
    <row r="1215" spans="1:10" hidden="1">
      <c r="A1215" s="1555"/>
      <c r="B1215" s="209" t="s">
        <v>985</v>
      </c>
      <c r="C1215" s="581">
        <f>SUM(C1137:C1214)</f>
        <v>0</v>
      </c>
      <c r="D1215" s="581">
        <f>SUM(D1137:D1214)</f>
        <v>0</v>
      </c>
      <c r="E1215" s="581">
        <f>SUM(E1137:E1214)</f>
        <v>0</v>
      </c>
      <c r="F1215" s="115">
        <f>SUM(F1137:F1159)</f>
        <v>0</v>
      </c>
      <c r="G1215" s="115">
        <f>SUM(G1137:G1159)</f>
        <v>0</v>
      </c>
      <c r="H1215" s="178">
        <f t="shared" si="36"/>
        <v>0</v>
      </c>
      <c r="I1215" s="178">
        <f t="shared" si="37"/>
        <v>0</v>
      </c>
      <c r="J1215" s="109"/>
    </row>
    <row r="1216" spans="1:10" hidden="1">
      <c r="A1216" s="1558" t="s">
        <v>354</v>
      </c>
      <c r="B1216" s="369"/>
      <c r="C1216" s="590"/>
      <c r="D1216" s="590"/>
      <c r="E1216" s="590"/>
      <c r="F1216" s="180"/>
      <c r="G1216" s="180"/>
      <c r="H1216" s="178">
        <f t="shared" si="36"/>
        <v>0</v>
      </c>
      <c r="I1216" s="178">
        <f t="shared" si="37"/>
        <v>0</v>
      </c>
      <c r="J1216" s="109"/>
    </row>
    <row r="1217" spans="1:10" hidden="1">
      <c r="A1217" s="1558"/>
      <c r="B1217" s="516"/>
      <c r="C1217" s="558"/>
      <c r="D1217" s="558"/>
      <c r="E1217" s="558"/>
      <c r="F1217" s="180"/>
      <c r="G1217" s="180"/>
      <c r="H1217" s="178">
        <f t="shared" si="36"/>
        <v>0</v>
      </c>
      <c r="I1217" s="178">
        <f t="shared" si="37"/>
        <v>0</v>
      </c>
      <c r="J1217" s="109"/>
    </row>
    <row r="1218" spans="1:10" hidden="1">
      <c r="A1218" s="1558"/>
      <c r="B1218" s="541"/>
      <c r="C1218" s="582"/>
      <c r="D1218" s="582"/>
      <c r="E1218" s="582"/>
      <c r="F1218" s="180"/>
      <c r="G1218" s="180"/>
      <c r="H1218" s="178">
        <f t="shared" si="36"/>
        <v>0</v>
      </c>
      <c r="I1218" s="178">
        <f t="shared" si="37"/>
        <v>0</v>
      </c>
      <c r="J1218" s="109"/>
    </row>
    <row r="1219" spans="1:10" hidden="1">
      <c r="A1219" s="1558"/>
      <c r="B1219" s="425"/>
      <c r="C1219" s="493"/>
      <c r="D1219" s="493"/>
      <c r="E1219" s="493"/>
      <c r="F1219" s="180"/>
      <c r="G1219" s="180"/>
      <c r="H1219" s="178">
        <f t="shared" si="36"/>
        <v>0</v>
      </c>
      <c r="I1219" s="178">
        <f t="shared" si="37"/>
        <v>0</v>
      </c>
      <c r="J1219" s="109"/>
    </row>
    <row r="1220" spans="1:10" hidden="1">
      <c r="A1220" s="1558"/>
      <c r="B1220" s="425"/>
      <c r="C1220" s="493"/>
      <c r="D1220" s="493"/>
      <c r="E1220" s="493"/>
      <c r="F1220" s="180"/>
      <c r="G1220" s="180"/>
      <c r="H1220" s="178">
        <f t="shared" si="36"/>
        <v>0</v>
      </c>
      <c r="I1220" s="178">
        <f t="shared" si="37"/>
        <v>0</v>
      </c>
      <c r="J1220" s="109"/>
    </row>
    <row r="1221" spans="1:10" hidden="1">
      <c r="A1221" s="1558"/>
      <c r="B1221" s="425"/>
      <c r="C1221" s="561"/>
      <c r="D1221" s="561"/>
      <c r="E1221" s="493"/>
      <c r="F1221" s="180"/>
      <c r="G1221" s="180"/>
      <c r="H1221" s="178">
        <f t="shared" si="36"/>
        <v>0</v>
      </c>
      <c r="I1221" s="178">
        <f t="shared" si="37"/>
        <v>0</v>
      </c>
      <c r="J1221" s="109"/>
    </row>
    <row r="1222" spans="1:10" hidden="1">
      <c r="A1222" s="1558"/>
      <c r="B1222" s="425"/>
      <c r="C1222" s="561"/>
      <c r="D1222" s="561"/>
      <c r="E1222" s="493"/>
      <c r="F1222" s="180"/>
      <c r="G1222" s="180"/>
      <c r="H1222" s="178">
        <f t="shared" si="36"/>
        <v>0</v>
      </c>
      <c r="I1222" s="178">
        <f t="shared" si="37"/>
        <v>0</v>
      </c>
      <c r="J1222" s="109"/>
    </row>
    <row r="1223" spans="1:10" hidden="1">
      <c r="A1223" s="1558"/>
      <c r="B1223" s="425"/>
      <c r="C1223" s="561"/>
      <c r="D1223" s="561"/>
      <c r="E1223" s="493"/>
      <c r="F1223" s="180"/>
      <c r="G1223" s="180"/>
      <c r="H1223" s="178">
        <f t="shared" si="36"/>
        <v>0</v>
      </c>
      <c r="I1223" s="178">
        <f t="shared" si="37"/>
        <v>0</v>
      </c>
      <c r="J1223" s="109"/>
    </row>
    <row r="1224" spans="1:10" hidden="1">
      <c r="A1224" s="1558"/>
      <c r="B1224" s="425"/>
      <c r="C1224" s="561"/>
      <c r="D1224" s="561"/>
      <c r="E1224" s="493"/>
      <c r="F1224" s="180"/>
      <c r="G1224" s="180"/>
      <c r="H1224" s="178">
        <f t="shared" si="36"/>
        <v>0</v>
      </c>
      <c r="I1224" s="178">
        <f t="shared" si="37"/>
        <v>0</v>
      </c>
      <c r="J1224" s="109"/>
    </row>
    <row r="1225" spans="1:10" hidden="1">
      <c r="A1225" s="1558"/>
      <c r="B1225" s="425"/>
      <c r="C1225" s="561"/>
      <c r="D1225" s="561"/>
      <c r="E1225" s="493"/>
      <c r="F1225" s="180"/>
      <c r="G1225" s="180"/>
      <c r="H1225" s="178">
        <f t="shared" ref="H1225:H1288" si="38">E1225+D1225-C1225</f>
        <v>0</v>
      </c>
      <c r="I1225" s="178">
        <f t="shared" ref="I1225:I1288" si="39">SUM(C1225:E1225)</f>
        <v>0</v>
      </c>
      <c r="J1225" s="109"/>
    </row>
    <row r="1226" spans="1:10" hidden="1">
      <c r="A1226" s="1558"/>
      <c r="B1226" s="425"/>
      <c r="C1226" s="561"/>
      <c r="D1226" s="561"/>
      <c r="E1226" s="493"/>
      <c r="F1226" s="180"/>
      <c r="G1226" s="180"/>
      <c r="H1226" s="178">
        <f t="shared" si="38"/>
        <v>0</v>
      </c>
      <c r="I1226" s="178">
        <f t="shared" si="39"/>
        <v>0</v>
      </c>
      <c r="J1226" s="109"/>
    </row>
    <row r="1227" spans="1:10" hidden="1">
      <c r="A1227" s="1558"/>
      <c r="B1227" s="425"/>
      <c r="C1227" s="561"/>
      <c r="D1227" s="561"/>
      <c r="E1227" s="493"/>
      <c r="F1227" s="180"/>
      <c r="G1227" s="180"/>
      <c r="H1227" s="178">
        <f t="shared" si="38"/>
        <v>0</v>
      </c>
      <c r="I1227" s="178">
        <f t="shared" si="39"/>
        <v>0</v>
      </c>
      <c r="J1227" s="109"/>
    </row>
    <row r="1228" spans="1:10" hidden="1">
      <c r="A1228" s="1558"/>
      <c r="B1228" s="425"/>
      <c r="C1228" s="561"/>
      <c r="D1228" s="561"/>
      <c r="E1228" s="493"/>
      <c r="F1228" s="180"/>
      <c r="G1228" s="180"/>
      <c r="H1228" s="178">
        <f t="shared" si="38"/>
        <v>0</v>
      </c>
      <c r="I1228" s="178">
        <f t="shared" si="39"/>
        <v>0</v>
      </c>
      <c r="J1228" s="109"/>
    </row>
    <row r="1229" spans="1:10" hidden="1">
      <c r="A1229" s="1558"/>
      <c r="B1229" s="425"/>
      <c r="C1229" s="561"/>
      <c r="D1229" s="561"/>
      <c r="E1229" s="493"/>
      <c r="F1229" s="180"/>
      <c r="G1229" s="180"/>
      <c r="H1229" s="178">
        <f t="shared" si="38"/>
        <v>0</v>
      </c>
      <c r="I1229" s="178">
        <f t="shared" si="39"/>
        <v>0</v>
      </c>
      <c r="J1229" s="109"/>
    </row>
    <row r="1230" spans="1:10" hidden="1">
      <c r="A1230" s="1558"/>
      <c r="B1230" s="425"/>
      <c r="C1230" s="561"/>
      <c r="D1230" s="561"/>
      <c r="E1230" s="493"/>
      <c r="F1230" s="180"/>
      <c r="G1230" s="180"/>
      <c r="H1230" s="178">
        <f t="shared" si="38"/>
        <v>0</v>
      </c>
      <c r="I1230" s="178">
        <f t="shared" si="39"/>
        <v>0</v>
      </c>
      <c r="J1230" s="109"/>
    </row>
    <row r="1231" spans="1:10" hidden="1">
      <c r="A1231" s="1558"/>
      <c r="B1231" s="425"/>
      <c r="C1231" s="561"/>
      <c r="D1231" s="561"/>
      <c r="E1231" s="493"/>
      <c r="F1231" s="180"/>
      <c r="G1231" s="180"/>
      <c r="H1231" s="178">
        <f t="shared" si="38"/>
        <v>0</v>
      </c>
      <c r="I1231" s="178">
        <f t="shared" si="39"/>
        <v>0</v>
      </c>
      <c r="J1231" s="109"/>
    </row>
    <row r="1232" spans="1:10" hidden="1">
      <c r="A1232" s="1558"/>
      <c r="B1232" s="425"/>
      <c r="C1232" s="561"/>
      <c r="D1232" s="561"/>
      <c r="E1232" s="493"/>
      <c r="F1232" s="180"/>
      <c r="G1232" s="180"/>
      <c r="H1232" s="178">
        <f t="shared" si="38"/>
        <v>0</v>
      </c>
      <c r="I1232" s="178">
        <f t="shared" si="39"/>
        <v>0</v>
      </c>
      <c r="J1232" s="109"/>
    </row>
    <row r="1233" spans="1:10" hidden="1">
      <c r="A1233" s="1558"/>
      <c r="B1233" s="425"/>
      <c r="C1233" s="561"/>
      <c r="D1233" s="561"/>
      <c r="E1233" s="561"/>
      <c r="F1233" s="180"/>
      <c r="G1233" s="180"/>
      <c r="H1233" s="178">
        <f t="shared" si="38"/>
        <v>0</v>
      </c>
      <c r="I1233" s="178">
        <f t="shared" si="39"/>
        <v>0</v>
      </c>
      <c r="J1233" s="109"/>
    </row>
    <row r="1234" spans="1:10" hidden="1">
      <c r="A1234" s="1558"/>
      <c r="B1234" s="425"/>
      <c r="C1234" s="561"/>
      <c r="D1234" s="561"/>
      <c r="E1234" s="561"/>
      <c r="F1234" s="180"/>
      <c r="G1234" s="180"/>
      <c r="H1234" s="178">
        <f t="shared" si="38"/>
        <v>0</v>
      </c>
      <c r="I1234" s="178">
        <f t="shared" si="39"/>
        <v>0</v>
      </c>
      <c r="J1234" s="109"/>
    </row>
    <row r="1235" spans="1:10" hidden="1">
      <c r="A1235" s="1558"/>
      <c r="B1235" s="425"/>
      <c r="C1235" s="561"/>
      <c r="D1235" s="561"/>
      <c r="E1235" s="561"/>
      <c r="F1235" s="180"/>
      <c r="G1235" s="180"/>
      <c r="H1235" s="178">
        <f t="shared" si="38"/>
        <v>0</v>
      </c>
      <c r="I1235" s="178">
        <f t="shared" si="39"/>
        <v>0</v>
      </c>
      <c r="J1235" s="109"/>
    </row>
    <row r="1236" spans="1:10" hidden="1">
      <c r="A1236" s="1558"/>
      <c r="B1236" s="425"/>
      <c r="C1236" s="561"/>
      <c r="D1236" s="561"/>
      <c r="E1236" s="561"/>
      <c r="F1236" s="180"/>
      <c r="G1236" s="180"/>
      <c r="H1236" s="178">
        <f t="shared" si="38"/>
        <v>0</v>
      </c>
      <c r="I1236" s="178">
        <f t="shared" si="39"/>
        <v>0</v>
      </c>
      <c r="J1236" s="109"/>
    </row>
    <row r="1237" spans="1:10" hidden="1">
      <c r="A1237" s="1558"/>
      <c r="B1237" s="425"/>
      <c r="C1237" s="561"/>
      <c r="D1237" s="561"/>
      <c r="E1237" s="561"/>
      <c r="F1237" s="180"/>
      <c r="G1237" s="180"/>
      <c r="H1237" s="178">
        <f t="shared" si="38"/>
        <v>0</v>
      </c>
      <c r="I1237" s="178">
        <f t="shared" si="39"/>
        <v>0</v>
      </c>
      <c r="J1237" s="109"/>
    </row>
    <row r="1238" spans="1:10" hidden="1">
      <c r="A1238" s="1558"/>
      <c r="B1238" s="427"/>
      <c r="C1238" s="578"/>
      <c r="D1238" s="578"/>
      <c r="E1238" s="579"/>
      <c r="F1238" s="180"/>
      <c r="G1238" s="180"/>
      <c r="H1238" s="178">
        <f t="shared" si="38"/>
        <v>0</v>
      </c>
      <c r="I1238" s="178">
        <f t="shared" si="39"/>
        <v>0</v>
      </c>
      <c r="J1238" s="109"/>
    </row>
    <row r="1239" spans="1:10" hidden="1">
      <c r="A1239" s="1558"/>
      <c r="B1239" s="427"/>
      <c r="C1239" s="578"/>
      <c r="D1239" s="578"/>
      <c r="E1239" s="579"/>
      <c r="F1239" s="180"/>
      <c r="G1239" s="180"/>
      <c r="H1239" s="178">
        <f t="shared" si="38"/>
        <v>0</v>
      </c>
      <c r="I1239" s="178">
        <f t="shared" si="39"/>
        <v>0</v>
      </c>
      <c r="J1239" s="109"/>
    </row>
    <row r="1240" spans="1:10" hidden="1">
      <c r="A1240" s="1558"/>
      <c r="B1240" s="427"/>
      <c r="C1240" s="578"/>
      <c r="D1240" s="578"/>
      <c r="E1240" s="579"/>
      <c r="F1240" s="180"/>
      <c r="G1240" s="180"/>
      <c r="H1240" s="178">
        <f t="shared" si="38"/>
        <v>0</v>
      </c>
      <c r="I1240" s="178">
        <f t="shared" si="39"/>
        <v>0</v>
      </c>
      <c r="J1240" s="109"/>
    </row>
    <row r="1241" spans="1:10" hidden="1">
      <c r="A1241" s="1558"/>
      <c r="B1241" s="427"/>
      <c r="C1241" s="578"/>
      <c r="D1241" s="578"/>
      <c r="E1241" s="579"/>
      <c r="F1241" s="180"/>
      <c r="G1241" s="180"/>
      <c r="H1241" s="178">
        <f t="shared" si="38"/>
        <v>0</v>
      </c>
      <c r="I1241" s="178">
        <f t="shared" si="39"/>
        <v>0</v>
      </c>
      <c r="J1241" s="109"/>
    </row>
    <row r="1242" spans="1:10" hidden="1">
      <c r="A1242" s="1558"/>
      <c r="B1242" s="427"/>
      <c r="C1242" s="578"/>
      <c r="D1242" s="578"/>
      <c r="E1242" s="579"/>
      <c r="F1242" s="180"/>
      <c r="G1242" s="180"/>
      <c r="H1242" s="178">
        <f t="shared" si="38"/>
        <v>0</v>
      </c>
      <c r="I1242" s="178">
        <f t="shared" si="39"/>
        <v>0</v>
      </c>
      <c r="J1242" s="109"/>
    </row>
    <row r="1243" spans="1:10" hidden="1">
      <c r="A1243" s="1558"/>
      <c r="B1243" s="427"/>
      <c r="C1243" s="578"/>
      <c r="D1243" s="578"/>
      <c r="E1243" s="579"/>
      <c r="F1243" s="180"/>
      <c r="G1243" s="180"/>
      <c r="H1243" s="178">
        <f t="shared" si="38"/>
        <v>0</v>
      </c>
      <c r="I1243" s="178">
        <f t="shared" si="39"/>
        <v>0</v>
      </c>
      <c r="J1243" s="109"/>
    </row>
    <row r="1244" spans="1:10" hidden="1">
      <c r="A1244" s="1558"/>
      <c r="B1244" s="427"/>
      <c r="C1244" s="578"/>
      <c r="D1244" s="578"/>
      <c r="E1244" s="579"/>
      <c r="F1244" s="180"/>
      <c r="G1244" s="180"/>
      <c r="H1244" s="178">
        <f t="shared" si="38"/>
        <v>0</v>
      </c>
      <c r="I1244" s="178">
        <f t="shared" si="39"/>
        <v>0</v>
      </c>
      <c r="J1244" s="109"/>
    </row>
    <row r="1245" spans="1:10" hidden="1">
      <c r="A1245" s="1558"/>
      <c r="B1245" s="425"/>
      <c r="C1245" s="578"/>
      <c r="D1245" s="578"/>
      <c r="E1245" s="580"/>
      <c r="F1245" s="180"/>
      <c r="G1245" s="180"/>
      <c r="H1245" s="178">
        <f t="shared" si="38"/>
        <v>0</v>
      </c>
      <c r="I1245" s="178">
        <f t="shared" si="39"/>
        <v>0</v>
      </c>
      <c r="J1245" s="109"/>
    </row>
    <row r="1246" spans="1:10" hidden="1">
      <c r="A1246" s="1558"/>
      <c r="B1246" s="425"/>
      <c r="C1246" s="578"/>
      <c r="D1246" s="578"/>
      <c r="E1246" s="580"/>
      <c r="F1246" s="180"/>
      <c r="G1246" s="180"/>
      <c r="H1246" s="178">
        <f t="shared" si="38"/>
        <v>0</v>
      </c>
      <c r="I1246" s="178">
        <f t="shared" si="39"/>
        <v>0</v>
      </c>
      <c r="J1246" s="109"/>
    </row>
    <row r="1247" spans="1:10" hidden="1">
      <c r="A1247" s="1558"/>
      <c r="B1247" s="425"/>
      <c r="C1247" s="578"/>
      <c r="D1247" s="578"/>
      <c r="E1247" s="580"/>
      <c r="F1247" s="180"/>
      <c r="G1247" s="180"/>
      <c r="H1247" s="178">
        <f t="shared" si="38"/>
        <v>0</v>
      </c>
      <c r="I1247" s="178">
        <f t="shared" si="39"/>
        <v>0</v>
      </c>
      <c r="J1247" s="109"/>
    </row>
    <row r="1248" spans="1:10" hidden="1">
      <c r="A1248" s="1558"/>
      <c r="B1248" s="425"/>
      <c r="C1248" s="578"/>
      <c r="D1248" s="578"/>
      <c r="E1248" s="580"/>
      <c r="F1248" s="180"/>
      <c r="G1248" s="180"/>
      <c r="H1248" s="178">
        <f t="shared" si="38"/>
        <v>0</v>
      </c>
      <c r="I1248" s="178">
        <f t="shared" si="39"/>
        <v>0</v>
      </c>
      <c r="J1248" s="109"/>
    </row>
    <row r="1249" spans="1:10" hidden="1">
      <c r="A1249" s="1558"/>
      <c r="B1249" s="425"/>
      <c r="C1249" s="578"/>
      <c r="D1249" s="578"/>
      <c r="E1249" s="580"/>
      <c r="F1249" s="180"/>
      <c r="G1249" s="180"/>
      <c r="H1249" s="178">
        <f t="shared" si="38"/>
        <v>0</v>
      </c>
      <c r="I1249" s="178">
        <f t="shared" si="39"/>
        <v>0</v>
      </c>
      <c r="J1249" s="109"/>
    </row>
    <row r="1250" spans="1:10" hidden="1">
      <c r="A1250" s="1558"/>
      <c r="B1250" s="425"/>
      <c r="C1250" s="578"/>
      <c r="D1250" s="578"/>
      <c r="E1250" s="580"/>
      <c r="F1250" s="180"/>
      <c r="G1250" s="180"/>
      <c r="H1250" s="178">
        <f t="shared" si="38"/>
        <v>0</v>
      </c>
      <c r="I1250" s="178">
        <f t="shared" si="39"/>
        <v>0</v>
      </c>
      <c r="J1250" s="109"/>
    </row>
    <row r="1251" spans="1:10" hidden="1">
      <c r="A1251" s="1558"/>
      <c r="B1251" s="425"/>
      <c r="C1251" s="578"/>
      <c r="D1251" s="578"/>
      <c r="E1251" s="580"/>
      <c r="F1251" s="180"/>
      <c r="G1251" s="180"/>
      <c r="H1251" s="178">
        <f t="shared" si="38"/>
        <v>0</v>
      </c>
      <c r="I1251" s="178">
        <f t="shared" si="39"/>
        <v>0</v>
      </c>
      <c r="J1251" s="109"/>
    </row>
    <row r="1252" spans="1:10" hidden="1">
      <c r="A1252" s="1558"/>
      <c r="B1252" s="425"/>
      <c r="C1252" s="578"/>
      <c r="D1252" s="578"/>
      <c r="E1252" s="580"/>
      <c r="F1252" s="180"/>
      <c r="G1252" s="180"/>
      <c r="H1252" s="178">
        <f t="shared" si="38"/>
        <v>0</v>
      </c>
      <c r="I1252" s="178">
        <f t="shared" si="39"/>
        <v>0</v>
      </c>
      <c r="J1252" s="109"/>
    </row>
    <row r="1253" spans="1:10" hidden="1">
      <c r="A1253" s="1558"/>
      <c r="B1253" s="425"/>
      <c r="C1253" s="578"/>
      <c r="D1253" s="578"/>
      <c r="E1253" s="580"/>
      <c r="F1253" s="180"/>
      <c r="G1253" s="180"/>
      <c r="H1253" s="178">
        <f t="shared" si="38"/>
        <v>0</v>
      </c>
      <c r="I1253" s="178">
        <f t="shared" si="39"/>
        <v>0</v>
      </c>
      <c r="J1253" s="109"/>
    </row>
    <row r="1254" spans="1:10" hidden="1">
      <c r="A1254" s="1558"/>
      <c r="B1254" s="425"/>
      <c r="C1254" s="578"/>
      <c r="D1254" s="578"/>
      <c r="E1254" s="580"/>
      <c r="F1254" s="180"/>
      <c r="G1254" s="180"/>
      <c r="H1254" s="178">
        <f t="shared" si="38"/>
        <v>0</v>
      </c>
      <c r="I1254" s="178">
        <f t="shared" si="39"/>
        <v>0</v>
      </c>
      <c r="J1254" s="109"/>
    </row>
    <row r="1255" spans="1:10" hidden="1">
      <c r="A1255" s="1558"/>
      <c r="B1255" s="425"/>
      <c r="C1255" s="578"/>
      <c r="D1255" s="578"/>
      <c r="E1255" s="580"/>
      <c r="F1255" s="180"/>
      <c r="G1255" s="180"/>
      <c r="H1255" s="178">
        <f t="shared" si="38"/>
        <v>0</v>
      </c>
      <c r="I1255" s="178">
        <f t="shared" si="39"/>
        <v>0</v>
      </c>
      <c r="J1255" s="109"/>
    </row>
    <row r="1256" spans="1:10" hidden="1">
      <c r="A1256" s="1558"/>
      <c r="B1256" s="425"/>
      <c r="C1256" s="578"/>
      <c r="D1256" s="578"/>
      <c r="E1256" s="580"/>
      <c r="F1256" s="180"/>
      <c r="G1256" s="180"/>
      <c r="H1256" s="178">
        <f t="shared" si="38"/>
        <v>0</v>
      </c>
      <c r="I1256" s="178">
        <f t="shared" si="39"/>
        <v>0</v>
      </c>
      <c r="J1256" s="109"/>
    </row>
    <row r="1257" spans="1:10" hidden="1">
      <c r="A1257" s="1558"/>
      <c r="B1257" s="425"/>
      <c r="C1257" s="578"/>
      <c r="D1257" s="578"/>
      <c r="E1257" s="580"/>
      <c r="F1257" s="180"/>
      <c r="G1257" s="180"/>
      <c r="H1257" s="178">
        <f t="shared" si="38"/>
        <v>0</v>
      </c>
      <c r="I1257" s="178">
        <f t="shared" si="39"/>
        <v>0</v>
      </c>
      <c r="J1257" s="109"/>
    </row>
    <row r="1258" spans="1:10" hidden="1">
      <c r="A1258" s="1558"/>
      <c r="B1258" s="425"/>
      <c r="C1258" s="578"/>
      <c r="D1258" s="578"/>
      <c r="E1258" s="580"/>
      <c r="F1258" s="180"/>
      <c r="G1258" s="180"/>
      <c r="H1258" s="178">
        <f t="shared" si="38"/>
        <v>0</v>
      </c>
      <c r="I1258" s="178">
        <f t="shared" si="39"/>
        <v>0</v>
      </c>
      <c r="J1258" s="109"/>
    </row>
    <row r="1259" spans="1:10" hidden="1">
      <c r="A1259" s="1558"/>
      <c r="B1259" s="425"/>
      <c r="C1259" s="578"/>
      <c r="D1259" s="578"/>
      <c r="E1259" s="580"/>
      <c r="F1259" s="180"/>
      <c r="G1259" s="180"/>
      <c r="H1259" s="178">
        <f t="shared" si="38"/>
        <v>0</v>
      </c>
      <c r="I1259" s="178">
        <f t="shared" si="39"/>
        <v>0</v>
      </c>
      <c r="J1259" s="109"/>
    </row>
    <row r="1260" spans="1:10" hidden="1">
      <c r="A1260" s="1558"/>
      <c r="B1260" s="425"/>
      <c r="C1260" s="578"/>
      <c r="D1260" s="578"/>
      <c r="E1260" s="580"/>
      <c r="F1260" s="180"/>
      <c r="G1260" s="180"/>
      <c r="H1260" s="178">
        <f t="shared" si="38"/>
        <v>0</v>
      </c>
      <c r="I1260" s="178">
        <f t="shared" si="39"/>
        <v>0</v>
      </c>
      <c r="J1260" s="109"/>
    </row>
    <row r="1261" spans="1:10" hidden="1">
      <c r="A1261" s="1558"/>
      <c r="B1261" s="425"/>
      <c r="C1261" s="561"/>
      <c r="D1261" s="561"/>
      <c r="E1261" s="577"/>
      <c r="F1261" s="180"/>
      <c r="G1261" s="180"/>
      <c r="H1261" s="178">
        <f t="shared" si="38"/>
        <v>0</v>
      </c>
      <c r="I1261" s="178">
        <f t="shared" si="39"/>
        <v>0</v>
      </c>
      <c r="J1261" s="109"/>
    </row>
    <row r="1262" spans="1:10" hidden="1">
      <c r="A1262" s="1558"/>
      <c r="B1262" s="425"/>
      <c r="C1262" s="561"/>
      <c r="D1262" s="561"/>
      <c r="E1262" s="577"/>
      <c r="F1262" s="180"/>
      <c r="G1262" s="180"/>
      <c r="H1262" s="178">
        <f t="shared" si="38"/>
        <v>0</v>
      </c>
      <c r="I1262" s="178">
        <f t="shared" si="39"/>
        <v>0</v>
      </c>
      <c r="J1262" s="109"/>
    </row>
    <row r="1263" spans="1:10" hidden="1">
      <c r="A1263" s="1558"/>
      <c r="B1263" s="425"/>
      <c r="C1263" s="561"/>
      <c r="D1263" s="561"/>
      <c r="E1263" s="577"/>
      <c r="F1263" s="180"/>
      <c r="G1263" s="180"/>
      <c r="H1263" s="178">
        <f t="shared" si="38"/>
        <v>0</v>
      </c>
      <c r="I1263" s="178">
        <f t="shared" si="39"/>
        <v>0</v>
      </c>
      <c r="J1263" s="109"/>
    </row>
    <row r="1264" spans="1:10" hidden="1">
      <c r="A1264" s="1558"/>
      <c r="B1264" s="425"/>
      <c r="C1264" s="561"/>
      <c r="D1264" s="561"/>
      <c r="E1264" s="577"/>
      <c r="F1264" s="180"/>
      <c r="G1264" s="180"/>
      <c r="H1264" s="178">
        <f t="shared" si="38"/>
        <v>0</v>
      </c>
      <c r="I1264" s="178">
        <f t="shared" si="39"/>
        <v>0</v>
      </c>
      <c r="J1264" s="109"/>
    </row>
    <row r="1265" spans="1:11" hidden="1">
      <c r="A1265" s="1558"/>
      <c r="B1265" s="209" t="s">
        <v>985</v>
      </c>
      <c r="C1265" s="581">
        <f>SUM(C1216:C1264)</f>
        <v>0</v>
      </c>
      <c r="D1265" s="581">
        <f>SUM(D1216:D1264)</f>
        <v>0</v>
      </c>
      <c r="E1265" s="581">
        <f>SUM(E1216:E1264)</f>
        <v>0</v>
      </c>
      <c r="F1265" s="117">
        <f>SUM(F1216:F1216)</f>
        <v>0</v>
      </c>
      <c r="G1265" s="117">
        <f>SUM(G1216:G1216)</f>
        <v>0</v>
      </c>
      <c r="H1265" s="178">
        <f t="shared" si="38"/>
        <v>0</v>
      </c>
      <c r="I1265" s="178">
        <f t="shared" si="39"/>
        <v>0</v>
      </c>
      <c r="J1265" s="109"/>
    </row>
    <row r="1266" spans="1:11" ht="37.5">
      <c r="A1266" s="1558" t="s">
        <v>1162</v>
      </c>
      <c r="B1266" s="1373" t="s">
        <v>2023</v>
      </c>
      <c r="C1266" s="1374">
        <v>585000</v>
      </c>
      <c r="D1266" s="1374"/>
      <c r="E1266" s="1374">
        <v>585000</v>
      </c>
      <c r="F1266" s="1377"/>
      <c r="G1266" s="1377"/>
      <c r="H1266" s="1436">
        <f t="shared" si="38"/>
        <v>0</v>
      </c>
      <c r="I1266" s="1436">
        <f t="shared" si="39"/>
        <v>1170000</v>
      </c>
      <c r="J1266" s="1439"/>
      <c r="K1266" s="1435"/>
    </row>
    <row r="1267" spans="1:11" ht="37.5">
      <c r="A1267" s="1558"/>
      <c r="B1267" s="1378" t="s">
        <v>2030</v>
      </c>
      <c r="C1267" s="1379">
        <v>720000</v>
      </c>
      <c r="D1267" s="1379"/>
      <c r="E1267" s="1380">
        <v>720000</v>
      </c>
      <c r="F1267" s="1381"/>
      <c r="G1267" s="1381"/>
      <c r="H1267" s="1436">
        <f t="shared" si="38"/>
        <v>0</v>
      </c>
      <c r="I1267" s="1436">
        <f t="shared" si="39"/>
        <v>1440000</v>
      </c>
      <c r="J1267" s="1439"/>
      <c r="K1267" s="1435"/>
    </row>
    <row r="1268" spans="1:11" hidden="1">
      <c r="A1268" s="1558"/>
      <c r="B1268" s="541"/>
      <c r="C1268" s="583"/>
      <c r="D1268" s="583"/>
      <c r="E1268" s="583"/>
      <c r="F1268" s="180"/>
      <c r="G1268" s="180"/>
      <c r="H1268" s="178">
        <f t="shared" si="38"/>
        <v>0</v>
      </c>
      <c r="I1268" s="178">
        <f t="shared" si="39"/>
        <v>0</v>
      </c>
      <c r="J1268" s="109"/>
    </row>
    <row r="1269" spans="1:11" hidden="1">
      <c r="A1269" s="1558"/>
      <c r="B1269" s="755"/>
      <c r="C1269" s="757"/>
      <c r="D1269" s="757"/>
      <c r="E1269" s="757"/>
      <c r="F1269" s="754"/>
      <c r="G1269" s="754"/>
      <c r="H1269" s="178">
        <f t="shared" si="38"/>
        <v>0</v>
      </c>
      <c r="I1269" s="178">
        <f t="shared" si="39"/>
        <v>0</v>
      </c>
      <c r="J1269" s="109"/>
    </row>
    <row r="1270" spans="1:11" hidden="1">
      <c r="A1270" s="1558"/>
      <c r="B1270" s="425"/>
      <c r="C1270" s="561"/>
      <c r="D1270" s="561"/>
      <c r="E1270" s="493"/>
      <c r="F1270" s="69"/>
      <c r="G1270" s="69"/>
      <c r="H1270" s="178">
        <f t="shared" si="38"/>
        <v>0</v>
      </c>
      <c r="I1270" s="178">
        <f t="shared" si="39"/>
        <v>0</v>
      </c>
      <c r="J1270" s="109"/>
    </row>
    <row r="1271" spans="1:11" hidden="1">
      <c r="A1271" s="1558"/>
      <c r="B1271" s="425"/>
      <c r="C1271" s="561"/>
      <c r="D1271" s="561"/>
      <c r="E1271" s="493"/>
      <c r="F1271" s="69"/>
      <c r="G1271" s="69"/>
      <c r="H1271" s="178">
        <f t="shared" si="38"/>
        <v>0</v>
      </c>
      <c r="I1271" s="178">
        <f t="shared" si="39"/>
        <v>0</v>
      </c>
      <c r="J1271" s="109"/>
    </row>
    <row r="1272" spans="1:11" hidden="1">
      <c r="A1272" s="1558"/>
      <c r="B1272" s="425"/>
      <c r="C1272" s="561"/>
      <c r="D1272" s="561"/>
      <c r="E1272" s="493"/>
      <c r="F1272" s="69"/>
      <c r="G1272" s="69"/>
      <c r="H1272" s="178">
        <f t="shared" si="38"/>
        <v>0</v>
      </c>
      <c r="I1272" s="178">
        <f t="shared" si="39"/>
        <v>0</v>
      </c>
      <c r="J1272" s="109"/>
    </row>
    <row r="1273" spans="1:11" hidden="1">
      <c r="A1273" s="1558"/>
      <c r="B1273" s="425"/>
      <c r="C1273" s="561"/>
      <c r="D1273" s="561"/>
      <c r="E1273" s="493"/>
      <c r="F1273" s="69"/>
      <c r="G1273" s="69"/>
      <c r="H1273" s="178">
        <f t="shared" si="38"/>
        <v>0</v>
      </c>
      <c r="I1273" s="178">
        <f t="shared" si="39"/>
        <v>0</v>
      </c>
      <c r="J1273" s="109"/>
    </row>
    <row r="1274" spans="1:11" hidden="1">
      <c r="A1274" s="1558"/>
      <c r="B1274" s="425"/>
      <c r="C1274" s="561"/>
      <c r="D1274" s="561"/>
      <c r="E1274" s="493"/>
      <c r="F1274" s="69"/>
      <c r="G1274" s="69"/>
      <c r="H1274" s="178">
        <f t="shared" si="38"/>
        <v>0</v>
      </c>
      <c r="I1274" s="178">
        <f t="shared" si="39"/>
        <v>0</v>
      </c>
      <c r="J1274" s="109"/>
    </row>
    <row r="1275" spans="1:11" hidden="1">
      <c r="A1275" s="1558"/>
      <c r="B1275" s="425"/>
      <c r="C1275" s="561"/>
      <c r="D1275" s="561"/>
      <c r="E1275" s="561"/>
      <c r="F1275" s="69"/>
      <c r="G1275" s="69"/>
      <c r="H1275" s="178">
        <f t="shared" si="38"/>
        <v>0</v>
      </c>
      <c r="I1275" s="178">
        <f t="shared" si="39"/>
        <v>0</v>
      </c>
      <c r="J1275" s="109"/>
    </row>
    <row r="1276" spans="1:11" hidden="1">
      <c r="A1276" s="1558"/>
      <c r="B1276" s="425"/>
      <c r="C1276" s="561"/>
      <c r="D1276" s="561"/>
      <c r="E1276" s="493"/>
      <c r="F1276" s="69"/>
      <c r="G1276" s="69"/>
      <c r="H1276" s="178">
        <f t="shared" si="38"/>
        <v>0</v>
      </c>
      <c r="I1276" s="178">
        <f t="shared" si="39"/>
        <v>0</v>
      </c>
      <c r="J1276" s="109"/>
    </row>
    <row r="1277" spans="1:11" hidden="1">
      <c r="A1277" s="1558"/>
      <c r="B1277" s="425"/>
      <c r="C1277" s="561"/>
      <c r="D1277" s="561"/>
      <c r="E1277" s="493"/>
      <c r="F1277" s="69"/>
      <c r="G1277" s="69"/>
      <c r="H1277" s="178">
        <f t="shared" si="38"/>
        <v>0</v>
      </c>
      <c r="I1277" s="178">
        <f t="shared" si="39"/>
        <v>0</v>
      </c>
      <c r="J1277" s="109"/>
    </row>
    <row r="1278" spans="1:11" hidden="1">
      <c r="A1278" s="1558"/>
      <c r="B1278" s="425"/>
      <c r="C1278" s="561"/>
      <c r="D1278" s="561"/>
      <c r="E1278" s="561"/>
      <c r="F1278" s="69"/>
      <c r="G1278" s="69"/>
      <c r="H1278" s="178">
        <f t="shared" si="38"/>
        <v>0</v>
      </c>
      <c r="I1278" s="178">
        <f t="shared" si="39"/>
        <v>0</v>
      </c>
      <c r="J1278" s="109"/>
    </row>
    <row r="1279" spans="1:11" hidden="1">
      <c r="A1279" s="1558"/>
      <c r="B1279" s="425"/>
      <c r="C1279" s="561"/>
      <c r="D1279" s="561"/>
      <c r="E1279" s="561"/>
      <c r="F1279" s="69"/>
      <c r="G1279" s="69"/>
      <c r="H1279" s="178">
        <f t="shared" si="38"/>
        <v>0</v>
      </c>
      <c r="I1279" s="178">
        <f t="shared" si="39"/>
        <v>0</v>
      </c>
      <c r="J1279" s="109"/>
    </row>
    <row r="1280" spans="1:11" hidden="1">
      <c r="A1280" s="1558"/>
      <c r="B1280" s="425"/>
      <c r="C1280" s="561"/>
      <c r="D1280" s="561"/>
      <c r="E1280" s="561"/>
      <c r="F1280" s="69"/>
      <c r="G1280" s="69"/>
      <c r="H1280" s="178">
        <f t="shared" si="38"/>
        <v>0</v>
      </c>
      <c r="I1280" s="178">
        <f t="shared" si="39"/>
        <v>0</v>
      </c>
      <c r="J1280" s="109"/>
    </row>
    <row r="1281" spans="1:11" hidden="1">
      <c r="A1281" s="1558"/>
      <c r="B1281" s="425"/>
      <c r="C1281" s="561"/>
      <c r="D1281" s="561"/>
      <c r="E1281" s="561"/>
      <c r="F1281" s="69"/>
      <c r="G1281" s="69"/>
      <c r="H1281" s="178">
        <f t="shared" si="38"/>
        <v>0</v>
      </c>
      <c r="I1281" s="178">
        <f t="shared" si="39"/>
        <v>0</v>
      </c>
      <c r="J1281" s="109"/>
    </row>
    <row r="1282" spans="1:11" hidden="1">
      <c r="A1282" s="1558"/>
      <c r="B1282" s="425"/>
      <c r="C1282" s="561"/>
      <c r="D1282" s="561"/>
      <c r="E1282" s="561"/>
      <c r="F1282" s="69"/>
      <c r="G1282" s="69"/>
      <c r="H1282" s="178">
        <f t="shared" si="38"/>
        <v>0</v>
      </c>
      <c r="I1282" s="178">
        <f t="shared" si="39"/>
        <v>0</v>
      </c>
      <c r="J1282" s="109"/>
    </row>
    <row r="1283" spans="1:11" hidden="1">
      <c r="A1283" s="1558"/>
      <c r="B1283" s="425"/>
      <c r="C1283" s="561"/>
      <c r="D1283" s="561"/>
      <c r="E1283" s="561"/>
      <c r="F1283" s="69"/>
      <c r="G1283" s="69"/>
      <c r="H1283" s="178">
        <f t="shared" si="38"/>
        <v>0</v>
      </c>
      <c r="I1283" s="178">
        <f t="shared" si="39"/>
        <v>0</v>
      </c>
      <c r="J1283" s="109"/>
    </row>
    <row r="1284" spans="1:11" hidden="1">
      <c r="A1284" s="1558"/>
      <c r="B1284" s="425"/>
      <c r="C1284" s="561"/>
      <c r="D1284" s="561"/>
      <c r="E1284" s="561"/>
      <c r="F1284" s="69"/>
      <c r="G1284" s="69"/>
      <c r="H1284" s="178">
        <f t="shared" si="38"/>
        <v>0</v>
      </c>
      <c r="I1284" s="178">
        <f t="shared" si="39"/>
        <v>0</v>
      </c>
      <c r="J1284" s="109"/>
    </row>
    <row r="1285" spans="1:11" hidden="1">
      <c r="A1285" s="1558"/>
      <c r="B1285" s="425"/>
      <c r="C1285" s="561"/>
      <c r="D1285" s="561"/>
      <c r="E1285" s="561"/>
      <c r="F1285" s="69"/>
      <c r="G1285" s="69"/>
      <c r="H1285" s="178">
        <f t="shared" si="38"/>
        <v>0</v>
      </c>
      <c r="I1285" s="178">
        <f t="shared" si="39"/>
        <v>0</v>
      </c>
      <c r="J1285" s="109"/>
    </row>
    <row r="1286" spans="1:11" hidden="1">
      <c r="A1286" s="1558"/>
      <c r="B1286" s="425"/>
      <c r="C1286" s="561"/>
      <c r="D1286" s="561"/>
      <c r="E1286" s="561"/>
      <c r="F1286" s="69"/>
      <c r="G1286" s="69"/>
      <c r="H1286" s="178">
        <f t="shared" si="38"/>
        <v>0</v>
      </c>
      <c r="I1286" s="178">
        <f t="shared" si="39"/>
        <v>0</v>
      </c>
      <c r="J1286" s="109"/>
    </row>
    <row r="1287" spans="1:11" hidden="1">
      <c r="A1287" s="1558"/>
      <c r="B1287" s="425"/>
      <c r="C1287" s="561"/>
      <c r="D1287" s="561"/>
      <c r="E1287" s="561"/>
      <c r="F1287" s="69"/>
      <c r="G1287" s="69"/>
      <c r="H1287" s="178">
        <f t="shared" si="38"/>
        <v>0</v>
      </c>
      <c r="I1287" s="178">
        <f t="shared" si="39"/>
        <v>0</v>
      </c>
      <c r="J1287" s="109"/>
    </row>
    <row r="1288" spans="1:11" hidden="1">
      <c r="A1288" s="1558"/>
      <c r="B1288" s="425"/>
      <c r="C1288" s="561"/>
      <c r="D1288" s="561"/>
      <c r="E1288" s="561"/>
      <c r="F1288" s="69"/>
      <c r="G1288" s="69"/>
      <c r="H1288" s="178">
        <f t="shared" si="38"/>
        <v>0</v>
      </c>
      <c r="I1288" s="178">
        <f t="shared" si="39"/>
        <v>0</v>
      </c>
      <c r="J1288" s="109"/>
    </row>
    <row r="1289" spans="1:11" hidden="1">
      <c r="A1289" s="1558"/>
      <c r="B1289" s="425"/>
      <c r="C1289" s="561"/>
      <c r="D1289" s="561"/>
      <c r="E1289" s="561"/>
      <c r="F1289" s="69"/>
      <c r="G1289" s="69"/>
      <c r="H1289" s="178">
        <f t="shared" ref="H1289:H1352" si="40">E1289+D1289-C1289</f>
        <v>0</v>
      </c>
      <c r="I1289" s="178">
        <f t="shared" ref="I1289:I1352" si="41">SUM(C1289:E1289)</f>
        <v>0</v>
      </c>
      <c r="J1289" s="109"/>
    </row>
    <row r="1290" spans="1:11" hidden="1">
      <c r="A1290" s="1558"/>
      <c r="B1290" s="425"/>
      <c r="C1290" s="561"/>
      <c r="D1290" s="561"/>
      <c r="E1290" s="561"/>
      <c r="F1290" s="69"/>
      <c r="G1290" s="69"/>
      <c r="H1290" s="178">
        <f t="shared" si="40"/>
        <v>0</v>
      </c>
      <c r="I1290" s="178">
        <f t="shared" si="41"/>
        <v>0</v>
      </c>
      <c r="J1290" s="109"/>
    </row>
    <row r="1291" spans="1:11" hidden="1">
      <c r="A1291" s="1558"/>
      <c r="B1291" s="425"/>
      <c r="C1291" s="561"/>
      <c r="D1291" s="561"/>
      <c r="E1291" s="561"/>
      <c r="F1291" s="69"/>
      <c r="G1291" s="69"/>
      <c r="H1291" s="178">
        <f t="shared" si="40"/>
        <v>0</v>
      </c>
      <c r="I1291" s="178">
        <f t="shared" si="41"/>
        <v>0</v>
      </c>
      <c r="J1291" s="109"/>
    </row>
    <row r="1292" spans="1:11">
      <c r="A1292" s="1558"/>
      <c r="B1292" s="428" t="s">
        <v>985</v>
      </c>
      <c r="C1292" s="559">
        <f>SUM(C1266:C1291)</f>
        <v>1305000</v>
      </c>
      <c r="D1292" s="559">
        <f>SUM(D1266:D1291)</f>
        <v>0</v>
      </c>
      <c r="E1292" s="559">
        <f>SUM(E1266:E1291)</f>
        <v>1305000</v>
      </c>
      <c r="F1292" s="115">
        <f>SUM(F1266:F1269)</f>
        <v>0</v>
      </c>
      <c r="G1292" s="115">
        <f>SUM(G1266:G1269)</f>
        <v>0</v>
      </c>
      <c r="H1292" s="1436">
        <f t="shared" si="40"/>
        <v>0</v>
      </c>
      <c r="I1292" s="1436">
        <f t="shared" si="41"/>
        <v>2610000</v>
      </c>
      <c r="J1292" s="1439"/>
      <c r="K1292" s="1435"/>
    </row>
    <row r="1293" spans="1:11" hidden="1">
      <c r="A1293" s="1558" t="s">
        <v>210</v>
      </c>
      <c r="B1293" s="369"/>
      <c r="C1293" s="590"/>
      <c r="D1293" s="590"/>
      <c r="E1293" s="590"/>
      <c r="F1293" s="180"/>
      <c r="G1293" s="180"/>
      <c r="H1293" s="178">
        <f t="shared" si="40"/>
        <v>0</v>
      </c>
      <c r="I1293" s="178">
        <f t="shared" si="41"/>
        <v>0</v>
      </c>
      <c r="J1293" s="109"/>
    </row>
    <row r="1294" spans="1:11" hidden="1">
      <c r="A1294" s="1558"/>
      <c r="B1294" s="369"/>
      <c r="C1294" s="590"/>
      <c r="D1294" s="590"/>
      <c r="E1294" s="590"/>
      <c r="F1294" s="180"/>
      <c r="G1294" s="180"/>
      <c r="H1294" s="178">
        <f t="shared" si="40"/>
        <v>0</v>
      </c>
      <c r="I1294" s="178">
        <f t="shared" si="41"/>
        <v>0</v>
      </c>
      <c r="J1294" s="109"/>
    </row>
    <row r="1295" spans="1:11" hidden="1">
      <c r="A1295" s="1558"/>
      <c r="B1295" s="541"/>
      <c r="C1295" s="591"/>
      <c r="D1295" s="591"/>
      <c r="E1295" s="591"/>
      <c r="F1295" s="69"/>
      <c r="G1295" s="69"/>
      <c r="H1295" s="178">
        <f t="shared" si="40"/>
        <v>0</v>
      </c>
      <c r="I1295" s="178">
        <f t="shared" si="41"/>
        <v>0</v>
      </c>
      <c r="J1295" s="109"/>
    </row>
    <row r="1296" spans="1:11" hidden="1">
      <c r="A1296" s="1558"/>
      <c r="B1296" s="541"/>
      <c r="C1296" s="591"/>
      <c r="D1296" s="591"/>
      <c r="E1296" s="591"/>
      <c r="F1296" s="69"/>
      <c r="G1296" s="69"/>
      <c r="H1296" s="178">
        <f t="shared" si="40"/>
        <v>0</v>
      </c>
      <c r="I1296" s="178">
        <f t="shared" si="41"/>
        <v>0</v>
      </c>
      <c r="J1296" s="109"/>
    </row>
    <row r="1297" spans="1:10" hidden="1">
      <c r="A1297" s="1558"/>
      <c r="B1297" s="425"/>
      <c r="C1297" s="493"/>
      <c r="D1297" s="493"/>
      <c r="E1297" s="493"/>
      <c r="F1297" s="69"/>
      <c r="G1297" s="69"/>
      <c r="H1297" s="178">
        <f t="shared" si="40"/>
        <v>0</v>
      </c>
      <c r="I1297" s="178">
        <f t="shared" si="41"/>
        <v>0</v>
      </c>
      <c r="J1297" s="109"/>
    </row>
    <row r="1298" spans="1:10" hidden="1">
      <c r="A1298" s="1558"/>
      <c r="B1298" s="425"/>
      <c r="C1298" s="493"/>
      <c r="D1298" s="493"/>
      <c r="E1298" s="493"/>
      <c r="F1298" s="69"/>
      <c r="G1298" s="69"/>
      <c r="H1298" s="178">
        <f t="shared" si="40"/>
        <v>0</v>
      </c>
      <c r="I1298" s="178">
        <f t="shared" si="41"/>
        <v>0</v>
      </c>
      <c r="J1298" s="109"/>
    </row>
    <row r="1299" spans="1:10" hidden="1">
      <c r="A1299" s="1558"/>
      <c r="B1299" s="425"/>
      <c r="C1299" s="493"/>
      <c r="D1299" s="493"/>
      <c r="E1299" s="493"/>
      <c r="F1299" s="69"/>
      <c r="G1299" s="69"/>
      <c r="H1299" s="178">
        <f t="shared" si="40"/>
        <v>0</v>
      </c>
      <c r="I1299" s="178">
        <f t="shared" si="41"/>
        <v>0</v>
      </c>
      <c r="J1299" s="109"/>
    </row>
    <row r="1300" spans="1:10" hidden="1">
      <c r="A1300" s="1558"/>
      <c r="B1300" s="425"/>
      <c r="C1300" s="493"/>
      <c r="D1300" s="493"/>
      <c r="E1300" s="493"/>
      <c r="F1300" s="69"/>
      <c r="G1300" s="69"/>
      <c r="H1300" s="178">
        <f t="shared" si="40"/>
        <v>0</v>
      </c>
      <c r="I1300" s="178">
        <f t="shared" si="41"/>
        <v>0</v>
      </c>
      <c r="J1300" s="109"/>
    </row>
    <row r="1301" spans="1:10" hidden="1">
      <c r="A1301" s="1558"/>
      <c r="B1301" s="425"/>
      <c r="C1301" s="493"/>
      <c r="D1301" s="493"/>
      <c r="E1301" s="493"/>
      <c r="F1301" s="69"/>
      <c r="G1301" s="69"/>
      <c r="H1301" s="178">
        <f t="shared" si="40"/>
        <v>0</v>
      </c>
      <c r="I1301" s="178">
        <f t="shared" si="41"/>
        <v>0</v>
      </c>
      <c r="J1301" s="109"/>
    </row>
    <row r="1302" spans="1:10" hidden="1">
      <c r="A1302" s="1558"/>
      <c r="B1302" s="425"/>
      <c r="C1302" s="493"/>
      <c r="D1302" s="493"/>
      <c r="E1302" s="493"/>
      <c r="F1302" s="69"/>
      <c r="G1302" s="69"/>
      <c r="H1302" s="178">
        <f t="shared" si="40"/>
        <v>0</v>
      </c>
      <c r="I1302" s="178">
        <f t="shared" si="41"/>
        <v>0</v>
      </c>
      <c r="J1302" s="109"/>
    </row>
    <row r="1303" spans="1:10" hidden="1">
      <c r="A1303" s="1558"/>
      <c r="B1303" s="425"/>
      <c r="C1303" s="493"/>
      <c r="D1303" s="493"/>
      <c r="E1303" s="493"/>
      <c r="F1303" s="69"/>
      <c r="G1303" s="69"/>
      <c r="H1303" s="178">
        <f t="shared" si="40"/>
        <v>0</v>
      </c>
      <c r="I1303" s="178">
        <f t="shared" si="41"/>
        <v>0</v>
      </c>
      <c r="J1303" s="109"/>
    </row>
    <row r="1304" spans="1:10" hidden="1">
      <c r="A1304" s="1558"/>
      <c r="B1304" s="425"/>
      <c r="C1304" s="493"/>
      <c r="D1304" s="493"/>
      <c r="E1304" s="493"/>
      <c r="F1304" s="69"/>
      <c r="G1304" s="69"/>
      <c r="H1304" s="178">
        <f t="shared" si="40"/>
        <v>0</v>
      </c>
      <c r="I1304" s="178">
        <f t="shared" si="41"/>
        <v>0</v>
      </c>
      <c r="J1304" s="109"/>
    </row>
    <row r="1305" spans="1:10" hidden="1">
      <c r="A1305" s="1558"/>
      <c r="B1305" s="425"/>
      <c r="C1305" s="493"/>
      <c r="D1305" s="493"/>
      <c r="E1305" s="493"/>
      <c r="F1305" s="69"/>
      <c r="G1305" s="69"/>
      <c r="H1305" s="178">
        <f t="shared" si="40"/>
        <v>0</v>
      </c>
      <c r="I1305" s="178">
        <f t="shared" si="41"/>
        <v>0</v>
      </c>
      <c r="J1305" s="109"/>
    </row>
    <row r="1306" spans="1:10" hidden="1">
      <c r="A1306" s="1558"/>
      <c r="B1306" s="425"/>
      <c r="C1306" s="493"/>
      <c r="D1306" s="493"/>
      <c r="E1306" s="493"/>
      <c r="F1306" s="69"/>
      <c r="G1306" s="69"/>
      <c r="H1306" s="178">
        <f t="shared" si="40"/>
        <v>0</v>
      </c>
      <c r="I1306" s="178">
        <f t="shared" si="41"/>
        <v>0</v>
      </c>
      <c r="J1306" s="109"/>
    </row>
    <row r="1307" spans="1:10" hidden="1">
      <c r="A1307" s="1558"/>
      <c r="B1307" s="425"/>
      <c r="C1307" s="493"/>
      <c r="D1307" s="493"/>
      <c r="E1307" s="493"/>
      <c r="F1307" s="69"/>
      <c r="G1307" s="69"/>
      <c r="H1307" s="178">
        <f t="shared" si="40"/>
        <v>0</v>
      </c>
      <c r="I1307" s="178">
        <f t="shared" si="41"/>
        <v>0</v>
      </c>
      <c r="J1307" s="109"/>
    </row>
    <row r="1308" spans="1:10" hidden="1">
      <c r="A1308" s="1558"/>
      <c r="B1308" s="425"/>
      <c r="C1308" s="561"/>
      <c r="D1308" s="493"/>
      <c r="E1308" s="493"/>
      <c r="F1308" s="69"/>
      <c r="G1308" s="69"/>
      <c r="H1308" s="178">
        <f t="shared" si="40"/>
        <v>0</v>
      </c>
      <c r="I1308" s="178">
        <f t="shared" si="41"/>
        <v>0</v>
      </c>
      <c r="J1308" s="109"/>
    </row>
    <row r="1309" spans="1:10" hidden="1">
      <c r="A1309" s="1558"/>
      <c r="B1309" s="425"/>
      <c r="C1309" s="561"/>
      <c r="D1309" s="493"/>
      <c r="E1309" s="493"/>
      <c r="F1309" s="69"/>
      <c r="G1309" s="69"/>
      <c r="H1309" s="178">
        <f t="shared" si="40"/>
        <v>0</v>
      </c>
      <c r="I1309" s="178">
        <f t="shared" si="41"/>
        <v>0</v>
      </c>
      <c r="J1309" s="109"/>
    </row>
    <row r="1310" spans="1:10" hidden="1">
      <c r="A1310" s="1558"/>
      <c r="B1310" s="425"/>
      <c r="C1310" s="561"/>
      <c r="D1310" s="493"/>
      <c r="E1310" s="493"/>
      <c r="F1310" s="69"/>
      <c r="G1310" s="69"/>
      <c r="H1310" s="178">
        <f t="shared" si="40"/>
        <v>0</v>
      </c>
      <c r="I1310" s="178">
        <f t="shared" si="41"/>
        <v>0</v>
      </c>
      <c r="J1310" s="109"/>
    </row>
    <row r="1311" spans="1:10" hidden="1">
      <c r="A1311" s="1558"/>
      <c r="B1311" s="425"/>
      <c r="C1311" s="561"/>
      <c r="D1311" s="493"/>
      <c r="E1311" s="493"/>
      <c r="F1311" s="69"/>
      <c r="G1311" s="69"/>
      <c r="H1311" s="178">
        <f t="shared" si="40"/>
        <v>0</v>
      </c>
      <c r="I1311" s="178">
        <f t="shared" si="41"/>
        <v>0</v>
      </c>
      <c r="J1311" s="109"/>
    </row>
    <row r="1312" spans="1:10" hidden="1">
      <c r="A1312" s="1558"/>
      <c r="B1312" s="425"/>
      <c r="C1312" s="561"/>
      <c r="D1312" s="493"/>
      <c r="E1312" s="493"/>
      <c r="F1312" s="69"/>
      <c r="G1312" s="69"/>
      <c r="H1312" s="178">
        <f t="shared" si="40"/>
        <v>0</v>
      </c>
      <c r="I1312" s="178">
        <f t="shared" si="41"/>
        <v>0</v>
      </c>
      <c r="J1312" s="109"/>
    </row>
    <row r="1313" spans="1:10" hidden="1">
      <c r="A1313" s="1558"/>
      <c r="B1313" s="425"/>
      <c r="C1313" s="561"/>
      <c r="D1313" s="561"/>
      <c r="E1313" s="561"/>
      <c r="F1313" s="69"/>
      <c r="G1313" s="69"/>
      <c r="H1313" s="178">
        <f t="shared" si="40"/>
        <v>0</v>
      </c>
      <c r="I1313" s="178">
        <f t="shared" si="41"/>
        <v>0</v>
      </c>
      <c r="J1313" s="109"/>
    </row>
    <row r="1314" spans="1:10" hidden="1">
      <c r="A1314" s="1558"/>
      <c r="B1314" s="425"/>
      <c r="C1314" s="561"/>
      <c r="D1314" s="561"/>
      <c r="E1314" s="561"/>
      <c r="F1314" s="69"/>
      <c r="G1314" s="69"/>
      <c r="H1314" s="178">
        <f t="shared" si="40"/>
        <v>0</v>
      </c>
      <c r="I1314" s="178">
        <f t="shared" si="41"/>
        <v>0</v>
      </c>
      <c r="J1314" s="109"/>
    </row>
    <row r="1315" spans="1:10" hidden="1">
      <c r="A1315" s="1558"/>
      <c r="B1315" s="425"/>
      <c r="C1315" s="561"/>
      <c r="D1315" s="561"/>
      <c r="E1315" s="561"/>
      <c r="F1315" s="69"/>
      <c r="G1315" s="69"/>
      <c r="H1315" s="178">
        <f t="shared" si="40"/>
        <v>0</v>
      </c>
      <c r="I1315" s="178">
        <f t="shared" si="41"/>
        <v>0</v>
      </c>
      <c r="J1315" s="109"/>
    </row>
    <row r="1316" spans="1:10" hidden="1">
      <c r="A1316" s="1558"/>
      <c r="B1316" s="425"/>
      <c r="C1316" s="561"/>
      <c r="D1316" s="561"/>
      <c r="E1316" s="561"/>
      <c r="F1316" s="69"/>
      <c r="G1316" s="69"/>
      <c r="H1316" s="178">
        <f t="shared" si="40"/>
        <v>0</v>
      </c>
      <c r="I1316" s="178">
        <f t="shared" si="41"/>
        <v>0</v>
      </c>
      <c r="J1316" s="109"/>
    </row>
    <row r="1317" spans="1:10" hidden="1">
      <c r="A1317" s="1558"/>
      <c r="B1317" s="425"/>
      <c r="C1317" s="561"/>
      <c r="D1317" s="561"/>
      <c r="E1317" s="561"/>
      <c r="F1317" s="69"/>
      <c r="G1317" s="69"/>
      <c r="H1317" s="178">
        <f t="shared" si="40"/>
        <v>0</v>
      </c>
      <c r="I1317" s="178">
        <f t="shared" si="41"/>
        <v>0</v>
      </c>
      <c r="J1317" s="109"/>
    </row>
    <row r="1318" spans="1:10" hidden="1">
      <c r="A1318" s="1558"/>
      <c r="B1318" s="425"/>
      <c r="C1318" s="561"/>
      <c r="D1318" s="561"/>
      <c r="E1318" s="493"/>
      <c r="F1318" s="69"/>
      <c r="G1318" s="69"/>
      <c r="H1318" s="178">
        <f t="shared" si="40"/>
        <v>0</v>
      </c>
      <c r="I1318" s="178">
        <f t="shared" si="41"/>
        <v>0</v>
      </c>
      <c r="J1318" s="109"/>
    </row>
    <row r="1319" spans="1:10" hidden="1">
      <c r="A1319" s="1558"/>
      <c r="B1319" s="425"/>
      <c r="C1319" s="561"/>
      <c r="D1319" s="561"/>
      <c r="E1319" s="493"/>
      <c r="F1319" s="69"/>
      <c r="G1319" s="69"/>
      <c r="H1319" s="178">
        <f t="shared" si="40"/>
        <v>0</v>
      </c>
      <c r="I1319" s="178">
        <f t="shared" si="41"/>
        <v>0</v>
      </c>
      <c r="J1319" s="109"/>
    </row>
    <row r="1320" spans="1:10" hidden="1">
      <c r="A1320" s="1558"/>
      <c r="B1320" s="425"/>
      <c r="C1320" s="561"/>
      <c r="D1320" s="561"/>
      <c r="E1320" s="493"/>
      <c r="F1320" s="69"/>
      <c r="G1320" s="69"/>
      <c r="H1320" s="178">
        <f t="shared" si="40"/>
        <v>0</v>
      </c>
      <c r="I1320" s="178">
        <f t="shared" si="41"/>
        <v>0</v>
      </c>
      <c r="J1320" s="109"/>
    </row>
    <row r="1321" spans="1:10" hidden="1">
      <c r="A1321" s="1558"/>
      <c r="B1321" s="425"/>
      <c r="C1321" s="493"/>
      <c r="D1321" s="493"/>
      <c r="E1321" s="493"/>
      <c r="F1321" s="69"/>
      <c r="G1321" s="69"/>
      <c r="H1321" s="178">
        <f t="shared" si="40"/>
        <v>0</v>
      </c>
      <c r="I1321" s="178">
        <f t="shared" si="41"/>
        <v>0</v>
      </c>
      <c r="J1321" s="109"/>
    </row>
    <row r="1322" spans="1:10" hidden="1">
      <c r="A1322" s="1558"/>
      <c r="B1322" s="425"/>
      <c r="C1322" s="493"/>
      <c r="D1322" s="493"/>
      <c r="E1322" s="493"/>
      <c r="F1322" s="69"/>
      <c r="G1322" s="69"/>
      <c r="H1322" s="178">
        <f t="shared" si="40"/>
        <v>0</v>
      </c>
      <c r="I1322" s="178">
        <f t="shared" si="41"/>
        <v>0</v>
      </c>
      <c r="J1322" s="109"/>
    </row>
    <row r="1323" spans="1:10" hidden="1">
      <c r="A1323" s="1558"/>
      <c r="B1323" s="425"/>
      <c r="C1323" s="493"/>
      <c r="D1323" s="493"/>
      <c r="E1323" s="493"/>
      <c r="F1323" s="69"/>
      <c r="G1323" s="69"/>
      <c r="H1323" s="178">
        <f t="shared" si="40"/>
        <v>0</v>
      </c>
      <c r="I1323" s="178">
        <f t="shared" si="41"/>
        <v>0</v>
      </c>
      <c r="J1323" s="109"/>
    </row>
    <row r="1324" spans="1:10" hidden="1">
      <c r="A1324" s="1558"/>
      <c r="B1324" s="425"/>
      <c r="C1324" s="493"/>
      <c r="D1324" s="493"/>
      <c r="E1324" s="493"/>
      <c r="F1324" s="69"/>
      <c r="G1324" s="69"/>
      <c r="H1324" s="178">
        <f t="shared" si="40"/>
        <v>0</v>
      </c>
      <c r="I1324" s="178">
        <f t="shared" si="41"/>
        <v>0</v>
      </c>
      <c r="J1324" s="109"/>
    </row>
    <row r="1325" spans="1:10" hidden="1">
      <c r="A1325" s="1558"/>
      <c r="B1325" s="425"/>
      <c r="C1325" s="493"/>
      <c r="D1325" s="493"/>
      <c r="E1325" s="493"/>
      <c r="F1325" s="69"/>
      <c r="G1325" s="69"/>
      <c r="H1325" s="178">
        <f t="shared" si="40"/>
        <v>0</v>
      </c>
      <c r="I1325" s="178">
        <f t="shared" si="41"/>
        <v>0</v>
      </c>
      <c r="J1325" s="109"/>
    </row>
    <row r="1326" spans="1:10" hidden="1">
      <c r="A1326" s="1558"/>
      <c r="B1326" s="425"/>
      <c r="C1326" s="493"/>
      <c r="D1326" s="493"/>
      <c r="E1326" s="493"/>
      <c r="F1326" s="69"/>
      <c r="G1326" s="69"/>
      <c r="H1326" s="178">
        <f t="shared" si="40"/>
        <v>0</v>
      </c>
      <c r="I1326" s="178">
        <f t="shared" si="41"/>
        <v>0</v>
      </c>
      <c r="J1326" s="109"/>
    </row>
    <row r="1327" spans="1:10" hidden="1">
      <c r="A1327" s="1558"/>
      <c r="B1327" s="425"/>
      <c r="C1327" s="578"/>
      <c r="D1327" s="578"/>
      <c r="E1327" s="580"/>
      <c r="F1327" s="69"/>
      <c r="G1327" s="69"/>
      <c r="H1327" s="178">
        <f t="shared" si="40"/>
        <v>0</v>
      </c>
      <c r="I1327" s="178">
        <f t="shared" si="41"/>
        <v>0</v>
      </c>
      <c r="J1327" s="109"/>
    </row>
    <row r="1328" spans="1:10" hidden="1">
      <c r="A1328" s="1558"/>
      <c r="B1328" s="425"/>
      <c r="C1328" s="578"/>
      <c r="D1328" s="578"/>
      <c r="E1328" s="580"/>
      <c r="F1328" s="69"/>
      <c r="G1328" s="69"/>
      <c r="H1328" s="178">
        <f t="shared" si="40"/>
        <v>0</v>
      </c>
      <c r="I1328" s="178">
        <f t="shared" si="41"/>
        <v>0</v>
      </c>
      <c r="J1328" s="109"/>
    </row>
    <row r="1329" spans="1:11" hidden="1">
      <c r="A1329" s="1558"/>
      <c r="B1329" s="425"/>
      <c r="C1329" s="578"/>
      <c r="D1329" s="578"/>
      <c r="E1329" s="580"/>
      <c r="F1329" s="69"/>
      <c r="G1329" s="69"/>
      <c r="H1329" s="178">
        <f t="shared" si="40"/>
        <v>0</v>
      </c>
      <c r="I1329" s="178">
        <f t="shared" si="41"/>
        <v>0</v>
      </c>
      <c r="J1329" s="109"/>
    </row>
    <row r="1330" spans="1:11" hidden="1">
      <c r="A1330" s="1558"/>
      <c r="B1330" s="425"/>
      <c r="C1330" s="578"/>
      <c r="D1330" s="578"/>
      <c r="E1330" s="580"/>
      <c r="F1330" s="69"/>
      <c r="G1330" s="69"/>
      <c r="H1330" s="178">
        <f t="shared" si="40"/>
        <v>0</v>
      </c>
      <c r="I1330" s="178">
        <f t="shared" si="41"/>
        <v>0</v>
      </c>
      <c r="J1330" s="109"/>
    </row>
    <row r="1331" spans="1:11" hidden="1">
      <c r="A1331" s="1558"/>
      <c r="B1331" s="425"/>
      <c r="C1331" s="578"/>
      <c r="D1331" s="578"/>
      <c r="E1331" s="580"/>
      <c r="F1331" s="69"/>
      <c r="G1331" s="69"/>
      <c r="H1331" s="178">
        <f t="shared" si="40"/>
        <v>0</v>
      </c>
      <c r="I1331" s="178">
        <f t="shared" si="41"/>
        <v>0</v>
      </c>
      <c r="J1331" s="109"/>
    </row>
    <row r="1332" spans="1:11" hidden="1">
      <c r="A1332" s="1558"/>
      <c r="B1332" s="425"/>
      <c r="C1332" s="561"/>
      <c r="D1332" s="577"/>
      <c r="E1332" s="577"/>
      <c r="F1332" s="69"/>
      <c r="G1332" s="69"/>
      <c r="H1332" s="178">
        <f t="shared" si="40"/>
        <v>0</v>
      </c>
      <c r="I1332" s="178">
        <f t="shared" si="41"/>
        <v>0</v>
      </c>
      <c r="J1332" s="109"/>
    </row>
    <row r="1333" spans="1:11" hidden="1">
      <c r="A1333" s="1558"/>
      <c r="B1333" s="425"/>
      <c r="C1333" s="561"/>
      <c r="D1333" s="577"/>
      <c r="E1333" s="577"/>
      <c r="F1333" s="69"/>
      <c r="G1333" s="69"/>
      <c r="H1333" s="178">
        <f t="shared" si="40"/>
        <v>0</v>
      </c>
      <c r="I1333" s="178">
        <f t="shared" si="41"/>
        <v>0</v>
      </c>
      <c r="J1333" s="109"/>
    </row>
    <row r="1334" spans="1:11" hidden="1">
      <c r="A1334" s="1558"/>
      <c r="B1334" s="425"/>
      <c r="C1334" s="561"/>
      <c r="D1334" s="577"/>
      <c r="E1334" s="577"/>
      <c r="F1334" s="69"/>
      <c r="G1334" s="69"/>
      <c r="H1334" s="178">
        <f t="shared" si="40"/>
        <v>0</v>
      </c>
      <c r="I1334" s="178">
        <f t="shared" si="41"/>
        <v>0</v>
      </c>
      <c r="J1334" s="109"/>
    </row>
    <row r="1335" spans="1:11" hidden="1">
      <c r="A1335" s="1558"/>
      <c r="B1335" s="425"/>
      <c r="C1335" s="561"/>
      <c r="D1335" s="577"/>
      <c r="E1335" s="577"/>
      <c r="F1335" s="69"/>
      <c r="G1335" s="69"/>
      <c r="H1335" s="178">
        <f t="shared" si="40"/>
        <v>0</v>
      </c>
      <c r="I1335" s="178">
        <f t="shared" si="41"/>
        <v>0</v>
      </c>
      <c r="J1335" s="109"/>
    </row>
    <row r="1336" spans="1:11" hidden="1">
      <c r="A1336" s="1558"/>
      <c r="B1336" s="425"/>
      <c r="C1336" s="561"/>
      <c r="D1336" s="577"/>
      <c r="E1336" s="577"/>
      <c r="F1336" s="69"/>
      <c r="G1336" s="69"/>
      <c r="H1336" s="178">
        <f t="shared" si="40"/>
        <v>0</v>
      </c>
      <c r="I1336" s="178">
        <f t="shared" si="41"/>
        <v>0</v>
      </c>
      <c r="J1336" s="109"/>
    </row>
    <row r="1337" spans="1:11" hidden="1">
      <c r="A1337" s="1558"/>
      <c r="B1337" s="425"/>
      <c r="C1337" s="561"/>
      <c r="D1337" s="577"/>
      <c r="E1337" s="577"/>
      <c r="F1337" s="69"/>
      <c r="G1337" s="69"/>
      <c r="H1337" s="178">
        <f t="shared" si="40"/>
        <v>0</v>
      </c>
      <c r="I1337" s="178">
        <f t="shared" si="41"/>
        <v>0</v>
      </c>
      <c r="J1337" s="109"/>
    </row>
    <row r="1338" spans="1:11" hidden="1">
      <c r="A1338" s="1558"/>
      <c r="B1338" s="425"/>
      <c r="C1338" s="561"/>
      <c r="D1338" s="577"/>
      <c r="E1338" s="577"/>
      <c r="F1338" s="69"/>
      <c r="G1338" s="69"/>
      <c r="H1338" s="178">
        <f t="shared" si="40"/>
        <v>0</v>
      </c>
      <c r="I1338" s="178">
        <f t="shared" si="41"/>
        <v>0</v>
      </c>
      <c r="J1338" s="109"/>
    </row>
    <row r="1339" spans="1:11" hidden="1">
      <c r="A1339" s="1558"/>
      <c r="B1339" s="425"/>
      <c r="C1339" s="561"/>
      <c r="D1339" s="577"/>
      <c r="E1339" s="577"/>
      <c r="F1339" s="69"/>
      <c r="G1339" s="69"/>
      <c r="H1339" s="178">
        <f t="shared" si="40"/>
        <v>0</v>
      </c>
      <c r="I1339" s="178">
        <f t="shared" si="41"/>
        <v>0</v>
      </c>
      <c r="J1339" s="109"/>
    </row>
    <row r="1340" spans="1:11" hidden="1">
      <c r="A1340" s="1558"/>
      <c r="B1340" s="425"/>
      <c r="C1340" s="561"/>
      <c r="D1340" s="577"/>
      <c r="E1340" s="577"/>
      <c r="F1340" s="69"/>
      <c r="G1340" s="69"/>
      <c r="H1340" s="178">
        <f t="shared" si="40"/>
        <v>0</v>
      </c>
      <c r="I1340" s="178">
        <f t="shared" si="41"/>
        <v>0</v>
      </c>
      <c r="J1340" s="109"/>
    </row>
    <row r="1341" spans="1:11" hidden="1">
      <c r="A1341" s="1558"/>
      <c r="B1341" s="209" t="s">
        <v>985</v>
      </c>
      <c r="C1341" s="581">
        <f>SUM(C1293:C1340)</f>
        <v>0</v>
      </c>
      <c r="D1341" s="581">
        <f>SUM(D1293:D1340)</f>
        <v>0</v>
      </c>
      <c r="E1341" s="581">
        <f>SUM(E1293:E1340)</f>
        <v>0</v>
      </c>
      <c r="F1341" s="115">
        <f>SUM(F1293:F1312)</f>
        <v>0</v>
      </c>
      <c r="G1341" s="115">
        <f>SUM(G1293:G1312)</f>
        <v>0</v>
      </c>
      <c r="H1341" s="178">
        <f t="shared" si="40"/>
        <v>0</v>
      </c>
      <c r="I1341" s="178">
        <f t="shared" si="41"/>
        <v>0</v>
      </c>
      <c r="J1341" s="109"/>
    </row>
    <row r="1342" spans="1:11" ht="112.5">
      <c r="A1342" s="1558" t="s">
        <v>1164</v>
      </c>
      <c r="B1342" s="1175" t="s">
        <v>1269</v>
      </c>
      <c r="C1342" s="1182">
        <v>60000</v>
      </c>
      <c r="D1342" s="1182"/>
      <c r="E1342" s="1182">
        <v>60000</v>
      </c>
      <c r="F1342" s="1189"/>
      <c r="G1342" s="1189"/>
      <c r="H1342" s="1436">
        <f t="shared" si="40"/>
        <v>0</v>
      </c>
      <c r="I1342" s="1436">
        <f t="shared" si="41"/>
        <v>120000</v>
      </c>
      <c r="J1342" s="1439"/>
      <c r="K1342" s="1435"/>
    </row>
    <row r="1343" spans="1:11" hidden="1">
      <c r="A1343" s="1558"/>
      <c r="B1343" s="1378"/>
      <c r="C1343" s="1378"/>
      <c r="D1343" s="1379"/>
      <c r="E1343" s="1379"/>
      <c r="F1343" s="1380">
        <v>0</v>
      </c>
      <c r="G1343" s="1381">
        <v>100000</v>
      </c>
      <c r="H1343" s="178">
        <f t="shared" si="40"/>
        <v>0</v>
      </c>
      <c r="I1343" s="178">
        <f t="shared" si="41"/>
        <v>0</v>
      </c>
      <c r="J1343" s="109"/>
    </row>
    <row r="1344" spans="1:11" hidden="1">
      <c r="A1344" s="1558"/>
      <c r="B1344" s="425"/>
      <c r="C1344" s="561"/>
      <c r="D1344" s="561"/>
      <c r="E1344" s="493"/>
      <c r="F1344" s="69"/>
      <c r="G1344" s="69"/>
      <c r="H1344" s="178">
        <f t="shared" si="40"/>
        <v>0</v>
      </c>
      <c r="I1344" s="178">
        <f t="shared" si="41"/>
        <v>0</v>
      </c>
      <c r="J1344" s="109"/>
    </row>
    <row r="1345" spans="1:10" hidden="1">
      <c r="A1345" s="1558"/>
      <c r="B1345" s="425"/>
      <c r="C1345" s="561"/>
      <c r="D1345" s="561"/>
      <c r="E1345" s="493"/>
      <c r="F1345" s="69"/>
      <c r="G1345" s="69"/>
      <c r="H1345" s="178">
        <f t="shared" si="40"/>
        <v>0</v>
      </c>
      <c r="I1345" s="178">
        <f t="shared" si="41"/>
        <v>0</v>
      </c>
      <c r="J1345" s="109"/>
    </row>
    <row r="1346" spans="1:10" hidden="1">
      <c r="A1346" s="1558"/>
      <c r="B1346" s="425"/>
      <c r="C1346" s="561"/>
      <c r="D1346" s="561"/>
      <c r="E1346" s="493"/>
      <c r="F1346" s="69"/>
      <c r="G1346" s="69"/>
      <c r="H1346" s="178">
        <f t="shared" si="40"/>
        <v>0</v>
      </c>
      <c r="I1346" s="178">
        <f t="shared" si="41"/>
        <v>0</v>
      </c>
      <c r="J1346" s="109"/>
    </row>
    <row r="1347" spans="1:10" hidden="1">
      <c r="A1347" s="1558"/>
      <c r="B1347" s="425"/>
      <c r="C1347" s="493"/>
      <c r="D1347" s="493"/>
      <c r="E1347" s="493"/>
      <c r="F1347" s="69"/>
      <c r="G1347" s="69"/>
      <c r="H1347" s="178">
        <f t="shared" si="40"/>
        <v>0</v>
      </c>
      <c r="I1347" s="178">
        <f t="shared" si="41"/>
        <v>0</v>
      </c>
      <c r="J1347" s="109"/>
    </row>
    <row r="1348" spans="1:10" hidden="1">
      <c r="A1348" s="1558"/>
      <c r="B1348" s="425"/>
      <c r="C1348" s="493"/>
      <c r="D1348" s="493"/>
      <c r="E1348" s="493"/>
      <c r="F1348" s="69"/>
      <c r="G1348" s="69"/>
      <c r="H1348" s="178">
        <f t="shared" si="40"/>
        <v>0</v>
      </c>
      <c r="I1348" s="178">
        <f t="shared" si="41"/>
        <v>0</v>
      </c>
      <c r="J1348" s="109"/>
    </row>
    <row r="1349" spans="1:10" hidden="1">
      <c r="A1349" s="1558"/>
      <c r="B1349" s="425"/>
      <c r="C1349" s="493"/>
      <c r="D1349" s="493"/>
      <c r="E1349" s="493"/>
      <c r="F1349" s="69"/>
      <c r="G1349" s="69"/>
      <c r="H1349" s="178">
        <f t="shared" si="40"/>
        <v>0</v>
      </c>
      <c r="I1349" s="178">
        <f t="shared" si="41"/>
        <v>0</v>
      </c>
      <c r="J1349" s="109"/>
    </row>
    <row r="1350" spans="1:10" hidden="1">
      <c r="A1350" s="1558"/>
      <c r="B1350" s="425"/>
      <c r="C1350" s="493"/>
      <c r="D1350" s="493"/>
      <c r="E1350" s="493"/>
      <c r="F1350" s="69"/>
      <c r="G1350" s="69"/>
      <c r="H1350" s="178">
        <f t="shared" si="40"/>
        <v>0</v>
      </c>
      <c r="I1350" s="178">
        <f t="shared" si="41"/>
        <v>0</v>
      </c>
      <c r="J1350" s="109"/>
    </row>
    <row r="1351" spans="1:10" hidden="1">
      <c r="A1351" s="1558"/>
      <c r="B1351" s="425"/>
      <c r="C1351" s="578"/>
      <c r="D1351" s="578"/>
      <c r="E1351" s="580"/>
      <c r="F1351" s="69"/>
      <c r="G1351" s="69"/>
      <c r="H1351" s="178">
        <f t="shared" si="40"/>
        <v>0</v>
      </c>
      <c r="I1351" s="178">
        <f t="shared" si="41"/>
        <v>0</v>
      </c>
      <c r="J1351" s="109"/>
    </row>
    <row r="1352" spans="1:10" hidden="1">
      <c r="A1352" s="1558"/>
      <c r="B1352" s="425"/>
      <c r="C1352" s="578"/>
      <c r="D1352" s="578"/>
      <c r="E1352" s="580"/>
      <c r="F1352" s="69"/>
      <c r="G1352" s="69"/>
      <c r="H1352" s="178">
        <f t="shared" si="40"/>
        <v>0</v>
      </c>
      <c r="I1352" s="178">
        <f t="shared" si="41"/>
        <v>0</v>
      </c>
      <c r="J1352" s="109"/>
    </row>
    <row r="1353" spans="1:10" hidden="1">
      <c r="A1353" s="1558"/>
      <c r="B1353" s="427"/>
      <c r="C1353" s="578"/>
      <c r="D1353" s="578"/>
      <c r="E1353" s="579"/>
      <c r="F1353" s="69"/>
      <c r="G1353" s="69"/>
      <c r="H1353" s="178">
        <f t="shared" ref="H1353:H1416" si="42">E1353+D1353-C1353</f>
        <v>0</v>
      </c>
      <c r="I1353" s="178">
        <f t="shared" ref="I1353:I1416" si="43">SUM(C1353:E1353)</f>
        <v>0</v>
      </c>
      <c r="J1353" s="109"/>
    </row>
    <row r="1354" spans="1:10" hidden="1">
      <c r="A1354" s="1558"/>
      <c r="B1354" s="425"/>
      <c r="C1354" s="577"/>
      <c r="D1354" s="577"/>
      <c r="E1354" s="577"/>
      <c r="F1354" s="69"/>
      <c r="G1354" s="69"/>
      <c r="H1354" s="178">
        <f t="shared" si="42"/>
        <v>0</v>
      </c>
      <c r="I1354" s="178">
        <f t="shared" si="43"/>
        <v>0</v>
      </c>
      <c r="J1354" s="109"/>
    </row>
    <row r="1355" spans="1:10" hidden="1">
      <c r="A1355" s="1558"/>
      <c r="B1355" s="425"/>
      <c r="C1355" s="577"/>
      <c r="D1355" s="577"/>
      <c r="E1355" s="577"/>
      <c r="F1355" s="69"/>
      <c r="G1355" s="69"/>
      <c r="H1355" s="178">
        <f t="shared" si="42"/>
        <v>0</v>
      </c>
      <c r="I1355" s="178">
        <f t="shared" si="43"/>
        <v>0</v>
      </c>
      <c r="J1355" s="109"/>
    </row>
    <row r="1356" spans="1:10" hidden="1">
      <c r="A1356" s="1558"/>
      <c r="B1356" s="425"/>
      <c r="C1356" s="577"/>
      <c r="D1356" s="577"/>
      <c r="E1356" s="577"/>
      <c r="F1356" s="69"/>
      <c r="G1356" s="69"/>
      <c r="H1356" s="178">
        <f t="shared" si="42"/>
        <v>0</v>
      </c>
      <c r="I1356" s="178">
        <f t="shared" si="43"/>
        <v>0</v>
      </c>
      <c r="J1356" s="109"/>
    </row>
    <row r="1357" spans="1:10" hidden="1">
      <c r="A1357" s="1558"/>
      <c r="B1357" s="425"/>
      <c r="C1357" s="577"/>
      <c r="D1357" s="577"/>
      <c r="E1357" s="577"/>
      <c r="F1357" s="69"/>
      <c r="G1357" s="69"/>
      <c r="H1357" s="178">
        <f t="shared" si="42"/>
        <v>0</v>
      </c>
      <c r="I1357" s="178">
        <f t="shared" si="43"/>
        <v>0</v>
      </c>
      <c r="J1357" s="109"/>
    </row>
    <row r="1358" spans="1:10" hidden="1">
      <c r="A1358" s="1558"/>
      <c r="B1358" s="425"/>
      <c r="C1358" s="577"/>
      <c r="D1358" s="577"/>
      <c r="E1358" s="577"/>
      <c r="F1358" s="69"/>
      <c r="G1358" s="69"/>
      <c r="H1358" s="178">
        <f t="shared" si="42"/>
        <v>0</v>
      </c>
      <c r="I1358" s="178">
        <f t="shared" si="43"/>
        <v>0</v>
      </c>
      <c r="J1358" s="109"/>
    </row>
    <row r="1359" spans="1:10" hidden="1">
      <c r="A1359" s="1558"/>
      <c r="B1359" s="425"/>
      <c r="C1359" s="577"/>
      <c r="D1359" s="577"/>
      <c r="E1359" s="577"/>
      <c r="F1359" s="69"/>
      <c r="G1359" s="69"/>
      <c r="H1359" s="178">
        <f t="shared" si="42"/>
        <v>0</v>
      </c>
      <c r="I1359" s="178">
        <f t="shared" si="43"/>
        <v>0</v>
      </c>
      <c r="J1359" s="109"/>
    </row>
    <row r="1360" spans="1:10" hidden="1">
      <c r="A1360" s="1558"/>
      <c r="B1360" s="425"/>
      <c r="C1360" s="577"/>
      <c r="D1360" s="577"/>
      <c r="E1360" s="577"/>
      <c r="F1360" s="69"/>
      <c r="G1360" s="69"/>
      <c r="H1360" s="178">
        <f t="shared" si="42"/>
        <v>0</v>
      </c>
      <c r="I1360" s="178">
        <f t="shared" si="43"/>
        <v>0</v>
      </c>
      <c r="J1360" s="109"/>
    </row>
    <row r="1361" spans="1:11" hidden="1">
      <c r="A1361" s="1558"/>
      <c r="B1361" s="425"/>
      <c r="C1361" s="577"/>
      <c r="D1361" s="577"/>
      <c r="E1361" s="577"/>
      <c r="F1361" s="69"/>
      <c r="G1361" s="69"/>
      <c r="H1361" s="178">
        <f t="shared" si="42"/>
        <v>0</v>
      </c>
      <c r="I1361" s="178">
        <f t="shared" si="43"/>
        <v>0</v>
      </c>
      <c r="J1361" s="109"/>
    </row>
    <row r="1362" spans="1:11" hidden="1">
      <c r="A1362" s="1558"/>
      <c r="B1362" s="425"/>
      <c r="C1362" s="577"/>
      <c r="D1362" s="577"/>
      <c r="E1362" s="577"/>
      <c r="F1362" s="69"/>
      <c r="G1362" s="69"/>
      <c r="H1362" s="178">
        <f t="shared" si="42"/>
        <v>0</v>
      </c>
      <c r="I1362" s="178">
        <f t="shared" si="43"/>
        <v>0</v>
      </c>
      <c r="J1362" s="109"/>
    </row>
    <row r="1363" spans="1:11" hidden="1">
      <c r="A1363" s="1558"/>
      <c r="B1363" s="425"/>
      <c r="C1363" s="561"/>
      <c r="D1363" s="561"/>
      <c r="E1363" s="577"/>
      <c r="F1363" s="69"/>
      <c r="G1363" s="69"/>
      <c r="H1363" s="178">
        <f t="shared" si="42"/>
        <v>0</v>
      </c>
      <c r="I1363" s="178">
        <f t="shared" si="43"/>
        <v>0</v>
      </c>
      <c r="J1363" s="109"/>
    </row>
    <row r="1364" spans="1:11" hidden="1">
      <c r="A1364" s="1558"/>
      <c r="B1364" s="425"/>
      <c r="C1364" s="561"/>
      <c r="D1364" s="561"/>
      <c r="E1364" s="577"/>
      <c r="F1364" s="69"/>
      <c r="G1364" s="69"/>
      <c r="H1364" s="178">
        <f t="shared" si="42"/>
        <v>0</v>
      </c>
      <c r="I1364" s="178">
        <f t="shared" si="43"/>
        <v>0</v>
      </c>
      <c r="J1364" s="109"/>
    </row>
    <row r="1365" spans="1:11" hidden="1">
      <c r="A1365" s="1558"/>
      <c r="B1365" s="425"/>
      <c r="C1365" s="561"/>
      <c r="D1365" s="561"/>
      <c r="E1365" s="577"/>
      <c r="F1365" s="69"/>
      <c r="G1365" s="69"/>
      <c r="H1365" s="178">
        <f t="shared" si="42"/>
        <v>0</v>
      </c>
      <c r="I1365" s="178">
        <f t="shared" si="43"/>
        <v>0</v>
      </c>
      <c r="J1365" s="109"/>
    </row>
    <row r="1366" spans="1:11">
      <c r="A1366" s="1558"/>
      <c r="B1366" s="209" t="s">
        <v>985</v>
      </c>
      <c r="C1366" s="588">
        <f>SUM(C1342:C1365)</f>
        <v>60000</v>
      </c>
      <c r="D1366" s="588">
        <f>SUM(D1342:D1365)</f>
        <v>0</v>
      </c>
      <c r="E1366" s="588">
        <f>SUM(E1342:E1365)</f>
        <v>60000</v>
      </c>
      <c r="F1366" s="115">
        <f>SUM(F1342:F1343)</f>
        <v>0</v>
      </c>
      <c r="G1366" s="115">
        <f>SUM(G1342:G1343)</f>
        <v>100000</v>
      </c>
      <c r="H1366" s="1436">
        <f t="shared" si="42"/>
        <v>0</v>
      </c>
      <c r="I1366" s="1436">
        <f t="shared" si="43"/>
        <v>120000</v>
      </c>
      <c r="J1366" s="1439"/>
      <c r="K1366" s="1435"/>
    </row>
    <row r="1367" spans="1:11" ht="75">
      <c r="A1367" s="1558" t="s">
        <v>1165</v>
      </c>
      <c r="B1367" s="1175" t="s">
        <v>2022</v>
      </c>
      <c r="C1367" s="1182">
        <v>250000</v>
      </c>
      <c r="D1367" s="1182">
        <v>250000</v>
      </c>
      <c r="E1367" s="1182"/>
      <c r="F1367" s="1189"/>
      <c r="G1367" s="1189"/>
      <c r="H1367" s="1436">
        <f t="shared" si="42"/>
        <v>0</v>
      </c>
      <c r="I1367" s="1436">
        <f t="shared" si="43"/>
        <v>500000</v>
      </c>
      <c r="J1367" s="1439"/>
      <c r="K1367" s="1435"/>
    </row>
    <row r="1368" spans="1:11" ht="56.25">
      <c r="A1368" s="1558"/>
      <c r="B1368" s="1378" t="s">
        <v>2038</v>
      </c>
      <c r="C1368" s="1379">
        <v>14000</v>
      </c>
      <c r="D1368" s="1379"/>
      <c r="E1368" s="1380">
        <v>14000</v>
      </c>
      <c r="F1368" s="1381"/>
      <c r="G1368" s="1381"/>
      <c r="H1368" s="1436">
        <f t="shared" si="42"/>
        <v>0</v>
      </c>
      <c r="I1368" s="1436">
        <f t="shared" si="43"/>
        <v>28000</v>
      </c>
      <c r="J1368" s="1439"/>
      <c r="K1368" s="1435"/>
    </row>
    <row r="1369" spans="1:11" ht="56.25">
      <c r="A1369" s="1558"/>
      <c r="B1369" s="1378" t="s">
        <v>2039</v>
      </c>
      <c r="C1369" s="1379">
        <v>17027</v>
      </c>
      <c r="D1369" s="1379"/>
      <c r="E1369" s="1380">
        <v>17027</v>
      </c>
      <c r="F1369" s="1381"/>
      <c r="G1369" s="1381"/>
      <c r="H1369" s="1436">
        <f t="shared" si="42"/>
        <v>0</v>
      </c>
      <c r="I1369" s="1436">
        <f t="shared" si="43"/>
        <v>34054</v>
      </c>
      <c r="J1369" s="1439"/>
      <c r="K1369" s="1435"/>
    </row>
    <row r="1370" spans="1:11" s="411" customFormat="1" hidden="1">
      <c r="A1370" s="1558"/>
      <c r="B1370" s="425"/>
      <c r="C1370" s="493"/>
      <c r="D1370" s="493"/>
      <c r="E1370" s="493"/>
      <c r="F1370" s="410"/>
      <c r="G1370" s="410"/>
      <c r="H1370" s="178">
        <f t="shared" si="42"/>
        <v>0</v>
      </c>
      <c r="I1370" s="178">
        <f t="shared" si="43"/>
        <v>0</v>
      </c>
      <c r="J1370" s="109"/>
    </row>
    <row r="1371" spans="1:11" hidden="1">
      <c r="A1371" s="1558"/>
      <c r="B1371" s="425"/>
      <c r="C1371" s="561"/>
      <c r="D1371" s="561"/>
      <c r="E1371" s="493"/>
      <c r="F1371" s="69"/>
      <c r="G1371" s="69"/>
      <c r="H1371" s="178">
        <f t="shared" si="42"/>
        <v>0</v>
      </c>
      <c r="I1371" s="178">
        <f t="shared" si="43"/>
        <v>0</v>
      </c>
      <c r="J1371" s="109"/>
    </row>
    <row r="1372" spans="1:11" hidden="1">
      <c r="A1372" s="1558"/>
      <c r="B1372" s="425"/>
      <c r="C1372" s="561"/>
      <c r="D1372" s="561"/>
      <c r="E1372" s="493"/>
      <c r="F1372" s="69"/>
      <c r="G1372" s="69"/>
      <c r="H1372" s="178">
        <f t="shared" si="42"/>
        <v>0</v>
      </c>
      <c r="I1372" s="178">
        <f t="shared" si="43"/>
        <v>0</v>
      </c>
      <c r="J1372" s="109"/>
    </row>
    <row r="1373" spans="1:11" hidden="1">
      <c r="A1373" s="1558"/>
      <c r="B1373" s="425"/>
      <c r="C1373" s="561"/>
      <c r="D1373" s="561"/>
      <c r="E1373" s="493"/>
      <c r="F1373" s="69"/>
      <c r="G1373" s="69"/>
      <c r="H1373" s="178">
        <f t="shared" si="42"/>
        <v>0</v>
      </c>
      <c r="I1373" s="178">
        <f t="shared" si="43"/>
        <v>0</v>
      </c>
      <c r="J1373" s="109"/>
    </row>
    <row r="1374" spans="1:11" hidden="1">
      <c r="A1374" s="1558"/>
      <c r="B1374" s="425"/>
      <c r="C1374" s="493"/>
      <c r="D1374" s="493"/>
      <c r="E1374" s="493"/>
      <c r="F1374" s="69"/>
      <c r="G1374" s="69"/>
      <c r="H1374" s="178">
        <f t="shared" si="42"/>
        <v>0</v>
      </c>
      <c r="I1374" s="178">
        <f t="shared" si="43"/>
        <v>0</v>
      </c>
      <c r="J1374" s="109"/>
    </row>
    <row r="1375" spans="1:11" hidden="1">
      <c r="A1375" s="1558"/>
      <c r="B1375" s="425"/>
      <c r="C1375" s="561"/>
      <c r="D1375" s="561"/>
      <c r="E1375" s="493"/>
      <c r="F1375" s="69"/>
      <c r="G1375" s="69"/>
      <c r="H1375" s="178">
        <f t="shared" si="42"/>
        <v>0</v>
      </c>
      <c r="I1375" s="178">
        <f t="shared" si="43"/>
        <v>0</v>
      </c>
      <c r="J1375" s="109"/>
    </row>
    <row r="1376" spans="1:11" hidden="1">
      <c r="A1376" s="1558"/>
      <c r="B1376" s="425"/>
      <c r="C1376" s="561"/>
      <c r="D1376" s="561"/>
      <c r="E1376" s="493"/>
      <c r="F1376" s="69"/>
      <c r="G1376" s="69"/>
      <c r="H1376" s="178">
        <f t="shared" si="42"/>
        <v>0</v>
      </c>
      <c r="I1376" s="178">
        <f t="shared" si="43"/>
        <v>0</v>
      </c>
      <c r="J1376" s="109"/>
    </row>
    <row r="1377" spans="1:10" hidden="1">
      <c r="A1377" s="1558"/>
      <c r="B1377" s="425"/>
      <c r="C1377" s="561"/>
      <c r="D1377" s="561"/>
      <c r="E1377" s="493"/>
      <c r="F1377" s="69"/>
      <c r="G1377" s="69"/>
      <c r="H1377" s="178">
        <f t="shared" si="42"/>
        <v>0</v>
      </c>
      <c r="I1377" s="178">
        <f t="shared" si="43"/>
        <v>0</v>
      </c>
      <c r="J1377" s="109"/>
    </row>
    <row r="1378" spans="1:10" hidden="1">
      <c r="A1378" s="1558"/>
      <c r="B1378" s="425"/>
      <c r="C1378" s="561"/>
      <c r="D1378" s="561"/>
      <c r="E1378" s="493"/>
      <c r="F1378" s="69"/>
      <c r="G1378" s="69"/>
      <c r="H1378" s="178">
        <f t="shared" si="42"/>
        <v>0</v>
      </c>
      <c r="I1378" s="178">
        <f t="shared" si="43"/>
        <v>0</v>
      </c>
      <c r="J1378" s="109"/>
    </row>
    <row r="1379" spans="1:10" hidden="1">
      <c r="A1379" s="1558"/>
      <c r="B1379" s="425"/>
      <c r="C1379" s="561"/>
      <c r="D1379" s="493"/>
      <c r="E1379" s="493"/>
      <c r="F1379" s="69"/>
      <c r="G1379" s="69"/>
      <c r="H1379" s="178">
        <f t="shared" si="42"/>
        <v>0</v>
      </c>
      <c r="I1379" s="178">
        <f t="shared" si="43"/>
        <v>0</v>
      </c>
      <c r="J1379" s="109"/>
    </row>
    <row r="1380" spans="1:10" hidden="1">
      <c r="A1380" s="1558"/>
      <c r="B1380" s="425"/>
      <c r="C1380" s="561"/>
      <c r="D1380" s="561"/>
      <c r="E1380" s="577"/>
      <c r="F1380" s="69"/>
      <c r="G1380" s="69"/>
      <c r="H1380" s="178">
        <f t="shared" si="42"/>
        <v>0</v>
      </c>
      <c r="I1380" s="178">
        <f t="shared" si="43"/>
        <v>0</v>
      </c>
      <c r="J1380" s="109"/>
    </row>
    <row r="1381" spans="1:10" hidden="1">
      <c r="A1381" s="1558"/>
      <c r="B1381" s="427"/>
      <c r="C1381" s="579"/>
      <c r="D1381" s="579"/>
      <c r="E1381" s="579"/>
      <c r="F1381" s="69"/>
      <c r="G1381" s="69"/>
      <c r="H1381" s="178">
        <f t="shared" si="42"/>
        <v>0</v>
      </c>
      <c r="I1381" s="178">
        <f t="shared" si="43"/>
        <v>0</v>
      </c>
      <c r="J1381" s="109"/>
    </row>
    <row r="1382" spans="1:10" hidden="1">
      <c r="A1382" s="1558"/>
      <c r="B1382" s="427"/>
      <c r="C1382" s="579"/>
      <c r="D1382" s="579"/>
      <c r="E1382" s="579"/>
      <c r="F1382" s="69"/>
      <c r="G1382" s="69"/>
      <c r="H1382" s="178">
        <f t="shared" si="42"/>
        <v>0</v>
      </c>
      <c r="I1382" s="178">
        <f t="shared" si="43"/>
        <v>0</v>
      </c>
      <c r="J1382" s="109"/>
    </row>
    <row r="1383" spans="1:10" hidden="1">
      <c r="A1383" s="1558"/>
      <c r="B1383" s="427"/>
      <c r="C1383" s="579"/>
      <c r="D1383" s="579"/>
      <c r="E1383" s="579"/>
      <c r="F1383" s="69"/>
      <c r="G1383" s="69"/>
      <c r="H1383" s="178">
        <f t="shared" si="42"/>
        <v>0</v>
      </c>
      <c r="I1383" s="178">
        <f t="shared" si="43"/>
        <v>0</v>
      </c>
      <c r="J1383" s="109"/>
    </row>
    <row r="1384" spans="1:10" hidden="1">
      <c r="A1384" s="1558"/>
      <c r="B1384" s="427"/>
      <c r="C1384" s="579"/>
      <c r="D1384" s="579"/>
      <c r="E1384" s="579"/>
      <c r="F1384" s="69"/>
      <c r="G1384" s="69"/>
      <c r="H1384" s="178">
        <f t="shared" si="42"/>
        <v>0</v>
      </c>
      <c r="I1384" s="178">
        <f t="shared" si="43"/>
        <v>0</v>
      </c>
      <c r="J1384" s="109"/>
    </row>
    <row r="1385" spans="1:10" hidden="1">
      <c r="A1385" s="1558"/>
      <c r="B1385" s="427"/>
      <c r="C1385" s="579"/>
      <c r="D1385" s="579"/>
      <c r="E1385" s="579"/>
      <c r="F1385" s="69"/>
      <c r="G1385" s="69"/>
      <c r="H1385" s="178">
        <f t="shared" si="42"/>
        <v>0</v>
      </c>
      <c r="I1385" s="178">
        <f t="shared" si="43"/>
        <v>0</v>
      </c>
      <c r="J1385" s="109"/>
    </row>
    <row r="1386" spans="1:10" hidden="1">
      <c r="A1386" s="1558"/>
      <c r="B1386" s="427"/>
      <c r="C1386" s="579"/>
      <c r="D1386" s="579"/>
      <c r="E1386" s="579"/>
      <c r="F1386" s="69"/>
      <c r="G1386" s="69"/>
      <c r="H1386" s="178">
        <f t="shared" si="42"/>
        <v>0</v>
      </c>
      <c r="I1386" s="178">
        <f t="shared" si="43"/>
        <v>0</v>
      </c>
      <c r="J1386" s="109"/>
    </row>
    <row r="1387" spans="1:10" hidden="1">
      <c r="A1387" s="1558"/>
      <c r="B1387" s="427"/>
      <c r="C1387" s="578"/>
      <c r="D1387" s="578"/>
      <c r="E1387" s="579"/>
      <c r="F1387" s="69"/>
      <c r="G1387" s="69"/>
      <c r="H1387" s="178">
        <f t="shared" si="42"/>
        <v>0</v>
      </c>
      <c r="I1387" s="178">
        <f t="shared" si="43"/>
        <v>0</v>
      </c>
      <c r="J1387" s="109"/>
    </row>
    <row r="1388" spans="1:10" hidden="1">
      <c r="A1388" s="1558"/>
      <c r="B1388" s="427"/>
      <c r="C1388" s="578"/>
      <c r="D1388" s="578"/>
      <c r="E1388" s="579"/>
      <c r="F1388" s="69"/>
      <c r="G1388" s="69"/>
      <c r="H1388" s="178">
        <f t="shared" si="42"/>
        <v>0</v>
      </c>
      <c r="I1388" s="178">
        <f t="shared" si="43"/>
        <v>0</v>
      </c>
      <c r="J1388" s="109"/>
    </row>
    <row r="1389" spans="1:10" hidden="1">
      <c r="A1389" s="1558"/>
      <c r="B1389" s="427"/>
      <c r="C1389" s="578"/>
      <c r="D1389" s="578"/>
      <c r="E1389" s="579"/>
      <c r="F1389" s="69"/>
      <c r="G1389" s="69"/>
      <c r="H1389" s="178">
        <f t="shared" si="42"/>
        <v>0</v>
      </c>
      <c r="I1389" s="178">
        <f t="shared" si="43"/>
        <v>0</v>
      </c>
      <c r="J1389" s="109"/>
    </row>
    <row r="1390" spans="1:10" hidden="1">
      <c r="A1390" s="1558"/>
      <c r="B1390" s="425"/>
      <c r="C1390" s="578"/>
      <c r="D1390" s="578"/>
      <c r="E1390" s="580"/>
      <c r="F1390" s="69"/>
      <c r="G1390" s="69"/>
      <c r="H1390" s="178">
        <f t="shared" si="42"/>
        <v>0</v>
      </c>
      <c r="I1390" s="178">
        <f t="shared" si="43"/>
        <v>0</v>
      </c>
      <c r="J1390" s="109"/>
    </row>
    <row r="1391" spans="1:10" hidden="1">
      <c r="A1391" s="1558"/>
      <c r="B1391" s="425"/>
      <c r="C1391" s="578"/>
      <c r="D1391" s="578"/>
      <c r="E1391" s="580"/>
      <c r="F1391" s="69"/>
      <c r="G1391" s="69"/>
      <c r="H1391" s="178">
        <f t="shared" si="42"/>
        <v>0</v>
      </c>
      <c r="I1391" s="178">
        <f t="shared" si="43"/>
        <v>0</v>
      </c>
      <c r="J1391" s="109"/>
    </row>
    <row r="1392" spans="1:10" hidden="1">
      <c r="A1392" s="1558"/>
      <c r="B1392" s="425"/>
      <c r="C1392" s="578"/>
      <c r="D1392" s="578"/>
      <c r="E1392" s="580"/>
      <c r="F1392" s="69"/>
      <c r="G1392" s="69"/>
      <c r="H1392" s="178">
        <f t="shared" si="42"/>
        <v>0</v>
      </c>
      <c r="I1392" s="178">
        <f t="shared" si="43"/>
        <v>0</v>
      </c>
      <c r="J1392" s="109"/>
    </row>
    <row r="1393" spans="1:10" hidden="1">
      <c r="A1393" s="1558"/>
      <c r="B1393" s="425"/>
      <c r="C1393" s="578"/>
      <c r="D1393" s="578"/>
      <c r="E1393" s="580"/>
      <c r="F1393" s="69"/>
      <c r="G1393" s="69"/>
      <c r="H1393" s="178">
        <f t="shared" si="42"/>
        <v>0</v>
      </c>
      <c r="I1393" s="178">
        <f t="shared" si="43"/>
        <v>0</v>
      </c>
      <c r="J1393" s="109"/>
    </row>
    <row r="1394" spans="1:10" hidden="1">
      <c r="A1394" s="1558"/>
      <c r="B1394" s="425"/>
      <c r="C1394" s="578"/>
      <c r="D1394" s="578"/>
      <c r="E1394" s="580"/>
      <c r="F1394" s="69"/>
      <c r="G1394" s="69"/>
      <c r="H1394" s="178">
        <f t="shared" si="42"/>
        <v>0</v>
      </c>
      <c r="I1394" s="178">
        <f t="shared" si="43"/>
        <v>0</v>
      </c>
      <c r="J1394" s="109"/>
    </row>
    <row r="1395" spans="1:10" hidden="1">
      <c r="A1395" s="1558"/>
      <c r="B1395" s="425"/>
      <c r="C1395" s="578"/>
      <c r="D1395" s="578"/>
      <c r="E1395" s="580"/>
      <c r="F1395" s="69"/>
      <c r="G1395" s="69"/>
      <c r="H1395" s="178">
        <f t="shared" si="42"/>
        <v>0</v>
      </c>
      <c r="I1395" s="178">
        <f t="shared" si="43"/>
        <v>0</v>
      </c>
      <c r="J1395" s="109"/>
    </row>
    <row r="1396" spans="1:10" hidden="1">
      <c r="A1396" s="1558"/>
      <c r="B1396" s="425"/>
      <c r="C1396" s="578"/>
      <c r="D1396" s="578"/>
      <c r="E1396" s="580"/>
      <c r="F1396" s="69"/>
      <c r="G1396" s="69"/>
      <c r="H1396" s="178">
        <f t="shared" si="42"/>
        <v>0</v>
      </c>
      <c r="I1396" s="178">
        <f t="shared" si="43"/>
        <v>0</v>
      </c>
      <c r="J1396" s="109"/>
    </row>
    <row r="1397" spans="1:10" hidden="1">
      <c r="A1397" s="1558"/>
      <c r="B1397" s="425"/>
      <c r="C1397" s="578"/>
      <c r="D1397" s="578"/>
      <c r="E1397" s="580"/>
      <c r="F1397" s="69"/>
      <c r="G1397" s="69"/>
      <c r="H1397" s="178">
        <f t="shared" si="42"/>
        <v>0</v>
      </c>
      <c r="I1397" s="178">
        <f t="shared" si="43"/>
        <v>0</v>
      </c>
      <c r="J1397" s="109"/>
    </row>
    <row r="1398" spans="1:10" hidden="1">
      <c r="A1398" s="1558"/>
      <c r="B1398" s="425"/>
      <c r="C1398" s="578"/>
      <c r="D1398" s="578"/>
      <c r="E1398" s="580"/>
      <c r="F1398" s="69"/>
      <c r="G1398" s="69"/>
      <c r="H1398" s="178">
        <f t="shared" si="42"/>
        <v>0</v>
      </c>
      <c r="I1398" s="178">
        <f t="shared" si="43"/>
        <v>0</v>
      </c>
      <c r="J1398" s="109"/>
    </row>
    <row r="1399" spans="1:10" hidden="1">
      <c r="A1399" s="1558"/>
      <c r="B1399" s="425"/>
      <c r="C1399" s="561"/>
      <c r="D1399" s="493"/>
      <c r="E1399" s="493"/>
      <c r="F1399" s="69"/>
      <c r="G1399" s="69"/>
      <c r="H1399" s="178">
        <f t="shared" si="42"/>
        <v>0</v>
      </c>
      <c r="I1399" s="178">
        <f t="shared" si="43"/>
        <v>0</v>
      </c>
      <c r="J1399" s="109"/>
    </row>
    <row r="1400" spans="1:10" hidden="1">
      <c r="A1400" s="1558"/>
      <c r="B1400" s="425"/>
      <c r="C1400" s="578"/>
      <c r="D1400" s="578"/>
      <c r="E1400" s="580"/>
      <c r="F1400" s="69"/>
      <c r="G1400" s="69"/>
      <c r="H1400" s="178">
        <f t="shared" si="42"/>
        <v>0</v>
      </c>
      <c r="I1400" s="178">
        <f t="shared" si="43"/>
        <v>0</v>
      </c>
      <c r="J1400" s="109"/>
    </row>
    <row r="1401" spans="1:10" hidden="1">
      <c r="A1401" s="1558"/>
      <c r="B1401" s="425"/>
      <c r="C1401" s="578"/>
      <c r="D1401" s="578"/>
      <c r="E1401" s="580"/>
      <c r="F1401" s="69"/>
      <c r="G1401" s="69"/>
      <c r="H1401" s="178">
        <f t="shared" si="42"/>
        <v>0</v>
      </c>
      <c r="I1401" s="178">
        <f t="shared" si="43"/>
        <v>0</v>
      </c>
      <c r="J1401" s="109"/>
    </row>
    <row r="1402" spans="1:10" hidden="1">
      <c r="A1402" s="1558"/>
      <c r="B1402" s="425"/>
      <c r="C1402" s="578"/>
      <c r="D1402" s="578"/>
      <c r="E1402" s="580"/>
      <c r="F1402" s="69"/>
      <c r="G1402" s="69"/>
      <c r="H1402" s="178">
        <f t="shared" si="42"/>
        <v>0</v>
      </c>
      <c r="I1402" s="178">
        <f t="shared" si="43"/>
        <v>0</v>
      </c>
      <c r="J1402" s="109"/>
    </row>
    <row r="1403" spans="1:10" hidden="1">
      <c r="A1403" s="1558"/>
      <c r="B1403" s="425"/>
      <c r="C1403" s="578"/>
      <c r="D1403" s="578"/>
      <c r="E1403" s="580"/>
      <c r="F1403" s="69"/>
      <c r="G1403" s="69"/>
      <c r="H1403" s="178">
        <f t="shared" si="42"/>
        <v>0</v>
      </c>
      <c r="I1403" s="178">
        <f t="shared" si="43"/>
        <v>0</v>
      </c>
      <c r="J1403" s="109"/>
    </row>
    <row r="1404" spans="1:10" hidden="1">
      <c r="A1404" s="1558"/>
      <c r="B1404" s="425"/>
      <c r="C1404" s="578"/>
      <c r="D1404" s="578"/>
      <c r="E1404" s="580"/>
      <c r="F1404" s="69"/>
      <c r="G1404" s="69"/>
      <c r="H1404" s="178">
        <f t="shared" si="42"/>
        <v>0</v>
      </c>
      <c r="I1404" s="178">
        <f t="shared" si="43"/>
        <v>0</v>
      </c>
      <c r="J1404" s="109"/>
    </row>
    <row r="1405" spans="1:10" hidden="1">
      <c r="A1405" s="1558"/>
      <c r="B1405" s="425"/>
      <c r="C1405" s="578"/>
      <c r="D1405" s="578"/>
      <c r="E1405" s="580"/>
      <c r="F1405" s="69"/>
      <c r="G1405" s="69"/>
      <c r="H1405" s="178">
        <f t="shared" si="42"/>
        <v>0</v>
      </c>
      <c r="I1405" s="178">
        <f t="shared" si="43"/>
        <v>0</v>
      </c>
      <c r="J1405" s="109"/>
    </row>
    <row r="1406" spans="1:10" hidden="1">
      <c r="A1406" s="1558"/>
      <c r="B1406" s="425"/>
      <c r="C1406" s="578"/>
      <c r="D1406" s="578"/>
      <c r="E1406" s="580"/>
      <c r="F1406" s="69"/>
      <c r="G1406" s="69"/>
      <c r="H1406" s="178">
        <f t="shared" si="42"/>
        <v>0</v>
      </c>
      <c r="I1406" s="178">
        <f t="shared" si="43"/>
        <v>0</v>
      </c>
      <c r="J1406" s="109"/>
    </row>
    <row r="1407" spans="1:10" hidden="1">
      <c r="A1407" s="1558"/>
      <c r="B1407" s="425"/>
      <c r="C1407" s="578"/>
      <c r="D1407" s="578"/>
      <c r="E1407" s="580"/>
      <c r="F1407" s="69"/>
      <c r="G1407" s="69"/>
      <c r="H1407" s="178">
        <f t="shared" si="42"/>
        <v>0</v>
      </c>
      <c r="I1407" s="178">
        <f t="shared" si="43"/>
        <v>0</v>
      </c>
      <c r="J1407" s="109"/>
    </row>
    <row r="1408" spans="1:10" hidden="1">
      <c r="A1408" s="1558"/>
      <c r="B1408" s="425"/>
      <c r="C1408" s="578"/>
      <c r="D1408" s="578"/>
      <c r="E1408" s="580"/>
      <c r="F1408" s="69"/>
      <c r="G1408" s="69"/>
      <c r="H1408" s="178">
        <f t="shared" si="42"/>
        <v>0</v>
      </c>
      <c r="I1408" s="178">
        <f t="shared" si="43"/>
        <v>0</v>
      </c>
      <c r="J1408" s="109"/>
    </row>
    <row r="1409" spans="1:11" hidden="1">
      <c r="A1409" s="1558"/>
      <c r="B1409" s="425"/>
      <c r="C1409" s="578"/>
      <c r="D1409" s="578"/>
      <c r="E1409" s="580"/>
      <c r="F1409" s="69"/>
      <c r="G1409" s="69"/>
      <c r="H1409" s="178">
        <f t="shared" si="42"/>
        <v>0</v>
      </c>
      <c r="I1409" s="178">
        <f t="shared" si="43"/>
        <v>0</v>
      </c>
      <c r="J1409" s="109"/>
    </row>
    <row r="1410" spans="1:11" hidden="1">
      <c r="A1410" s="1558"/>
      <c r="B1410" s="425"/>
      <c r="C1410" s="578"/>
      <c r="D1410" s="578"/>
      <c r="E1410" s="580"/>
      <c r="F1410" s="69"/>
      <c r="G1410" s="69"/>
      <c r="H1410" s="178">
        <f t="shared" si="42"/>
        <v>0</v>
      </c>
      <c r="I1410" s="178">
        <f t="shared" si="43"/>
        <v>0</v>
      </c>
      <c r="J1410" s="109"/>
    </row>
    <row r="1411" spans="1:11" hidden="1">
      <c r="A1411" s="1558"/>
      <c r="B1411" s="425"/>
      <c r="C1411" s="578"/>
      <c r="D1411" s="578"/>
      <c r="E1411" s="580"/>
      <c r="F1411" s="69"/>
      <c r="G1411" s="69"/>
      <c r="H1411" s="178">
        <f t="shared" si="42"/>
        <v>0</v>
      </c>
      <c r="I1411" s="178">
        <f t="shared" si="43"/>
        <v>0</v>
      </c>
      <c r="J1411" s="109"/>
    </row>
    <row r="1412" spans="1:11" ht="121.5" hidden="1" customHeight="1">
      <c r="A1412" s="1558"/>
      <c r="B1412" s="425"/>
      <c r="C1412" s="561"/>
      <c r="D1412" s="577"/>
      <c r="E1412" s="577"/>
      <c r="F1412" s="69"/>
      <c r="G1412" s="69"/>
      <c r="H1412" s="178">
        <f t="shared" si="42"/>
        <v>0</v>
      </c>
      <c r="I1412" s="178">
        <f t="shared" si="43"/>
        <v>0</v>
      </c>
      <c r="J1412" s="109"/>
    </row>
    <row r="1413" spans="1:11">
      <c r="A1413" s="1558"/>
      <c r="B1413" s="209" t="s">
        <v>985</v>
      </c>
      <c r="C1413" s="588">
        <f>SUM(C1367:C1412)</f>
        <v>281027</v>
      </c>
      <c r="D1413" s="588">
        <f>SUM(D1367:D1412)</f>
        <v>250000</v>
      </c>
      <c r="E1413" s="588">
        <f>SUM(E1367:E1412)</f>
        <v>31027</v>
      </c>
      <c r="F1413" s="115">
        <f>SUM(F1367:F1412)</f>
        <v>0</v>
      </c>
      <c r="G1413" s="115">
        <f>SUM(G1367:G1412)</f>
        <v>0</v>
      </c>
      <c r="H1413" s="1436">
        <f t="shared" si="42"/>
        <v>0</v>
      </c>
      <c r="I1413" s="1436">
        <f t="shared" si="43"/>
        <v>562054</v>
      </c>
      <c r="J1413" s="1439"/>
      <c r="K1413" s="1435"/>
    </row>
    <row r="1414" spans="1:11" hidden="1">
      <c r="A1414" s="1558" t="s">
        <v>892</v>
      </c>
      <c r="B1414" s="533"/>
      <c r="C1414" s="587"/>
      <c r="D1414" s="587"/>
      <c r="E1414" s="587"/>
      <c r="F1414" s="180"/>
      <c r="G1414" s="180"/>
      <c r="H1414" s="178">
        <f t="shared" si="42"/>
        <v>0</v>
      </c>
      <c r="I1414" s="178">
        <f t="shared" si="43"/>
        <v>0</v>
      </c>
      <c r="J1414" s="109"/>
    </row>
    <row r="1415" spans="1:11" hidden="1">
      <c r="A1415" s="1558"/>
      <c r="B1415" s="425"/>
      <c r="C1415" s="561"/>
      <c r="D1415" s="493"/>
      <c r="E1415" s="493"/>
      <c r="F1415" s="69"/>
      <c r="G1415" s="69"/>
      <c r="H1415" s="178">
        <f t="shared" si="42"/>
        <v>0</v>
      </c>
      <c r="I1415" s="178">
        <f t="shared" si="43"/>
        <v>0</v>
      </c>
      <c r="J1415" s="109"/>
    </row>
    <row r="1416" spans="1:11" hidden="1">
      <c r="A1416" s="1558"/>
      <c r="B1416" s="425"/>
      <c r="C1416" s="493"/>
      <c r="D1416" s="493"/>
      <c r="E1416" s="493"/>
      <c r="F1416" s="69"/>
      <c r="G1416" s="69"/>
      <c r="H1416" s="178">
        <f t="shared" si="42"/>
        <v>0</v>
      </c>
      <c r="I1416" s="178">
        <f t="shared" si="43"/>
        <v>0</v>
      </c>
      <c r="J1416" s="109"/>
    </row>
    <row r="1417" spans="1:11" hidden="1">
      <c r="A1417" s="1558"/>
      <c r="B1417" s="425"/>
      <c r="C1417" s="493"/>
      <c r="D1417" s="493"/>
      <c r="E1417" s="493"/>
      <c r="F1417" s="69"/>
      <c r="G1417" s="69"/>
      <c r="H1417" s="178">
        <f t="shared" ref="H1417:H1480" si="44">E1417+D1417-C1417</f>
        <v>0</v>
      </c>
      <c r="I1417" s="178">
        <f t="shared" ref="I1417:I1480" si="45">SUM(C1417:E1417)</f>
        <v>0</v>
      </c>
      <c r="J1417" s="109"/>
    </row>
    <row r="1418" spans="1:11" hidden="1">
      <c r="A1418" s="1558"/>
      <c r="B1418" s="425"/>
      <c r="C1418" s="493"/>
      <c r="D1418" s="493"/>
      <c r="E1418" s="493"/>
      <c r="F1418" s="69"/>
      <c r="G1418" s="69"/>
      <c r="H1418" s="178">
        <f t="shared" si="44"/>
        <v>0</v>
      </c>
      <c r="I1418" s="178">
        <f t="shared" si="45"/>
        <v>0</v>
      </c>
      <c r="J1418" s="109"/>
    </row>
    <row r="1419" spans="1:11" hidden="1">
      <c r="A1419" s="1558"/>
      <c r="B1419" s="425"/>
      <c r="C1419" s="561"/>
      <c r="D1419" s="561"/>
      <c r="E1419" s="493"/>
      <c r="F1419" s="69"/>
      <c r="G1419" s="69"/>
      <c r="H1419" s="178">
        <f t="shared" si="44"/>
        <v>0</v>
      </c>
      <c r="I1419" s="178">
        <f t="shared" si="45"/>
        <v>0</v>
      </c>
      <c r="J1419" s="109"/>
    </row>
    <row r="1420" spans="1:11" hidden="1">
      <c r="A1420" s="1558"/>
      <c r="B1420" s="425"/>
      <c r="C1420" s="561"/>
      <c r="D1420" s="561"/>
      <c r="E1420" s="493"/>
      <c r="F1420" s="69"/>
      <c r="G1420" s="69"/>
      <c r="H1420" s="178">
        <f t="shared" si="44"/>
        <v>0</v>
      </c>
      <c r="I1420" s="178">
        <f t="shared" si="45"/>
        <v>0</v>
      </c>
      <c r="J1420" s="109"/>
    </row>
    <row r="1421" spans="1:11" hidden="1">
      <c r="A1421" s="1558"/>
      <c r="B1421" s="425"/>
      <c r="C1421" s="561"/>
      <c r="D1421" s="561"/>
      <c r="E1421" s="493"/>
      <c r="F1421" s="69"/>
      <c r="G1421" s="69"/>
      <c r="H1421" s="178">
        <f t="shared" si="44"/>
        <v>0</v>
      </c>
      <c r="I1421" s="178">
        <f t="shared" si="45"/>
        <v>0</v>
      </c>
      <c r="J1421" s="109"/>
    </row>
    <row r="1422" spans="1:11" hidden="1">
      <c r="A1422" s="1558"/>
      <c r="B1422" s="425"/>
      <c r="C1422" s="493"/>
      <c r="D1422" s="493"/>
      <c r="E1422" s="493"/>
      <c r="F1422" s="69"/>
      <c r="G1422" s="69"/>
      <c r="H1422" s="178">
        <f t="shared" si="44"/>
        <v>0</v>
      </c>
      <c r="I1422" s="178">
        <f t="shared" si="45"/>
        <v>0</v>
      </c>
      <c r="J1422" s="109"/>
    </row>
    <row r="1423" spans="1:11" hidden="1">
      <c r="A1423" s="1558"/>
      <c r="B1423" s="425"/>
      <c r="C1423" s="561"/>
      <c r="D1423" s="561"/>
      <c r="E1423" s="493"/>
      <c r="F1423" s="69"/>
      <c r="G1423" s="69"/>
      <c r="H1423" s="178">
        <f t="shared" si="44"/>
        <v>0</v>
      </c>
      <c r="I1423" s="178">
        <f t="shared" si="45"/>
        <v>0</v>
      </c>
      <c r="J1423" s="109"/>
    </row>
    <row r="1424" spans="1:11" hidden="1">
      <c r="A1424" s="1558"/>
      <c r="B1424" s="425"/>
      <c r="C1424" s="561"/>
      <c r="D1424" s="561"/>
      <c r="E1424" s="493"/>
      <c r="F1424" s="69"/>
      <c r="G1424" s="69"/>
      <c r="H1424" s="178">
        <f t="shared" si="44"/>
        <v>0</v>
      </c>
      <c r="I1424" s="178">
        <f t="shared" si="45"/>
        <v>0</v>
      </c>
      <c r="J1424" s="109"/>
    </row>
    <row r="1425" spans="1:10" hidden="1">
      <c r="A1425" s="1558"/>
      <c r="B1425" s="425"/>
      <c r="C1425" s="561"/>
      <c r="D1425" s="561"/>
      <c r="E1425" s="493"/>
      <c r="F1425" s="69"/>
      <c r="G1425" s="69"/>
      <c r="H1425" s="178">
        <f t="shared" si="44"/>
        <v>0</v>
      </c>
      <c r="I1425" s="178">
        <f t="shared" si="45"/>
        <v>0</v>
      </c>
      <c r="J1425" s="109"/>
    </row>
    <row r="1426" spans="1:10" hidden="1">
      <c r="A1426" s="1558"/>
      <c r="B1426" s="425"/>
      <c r="C1426" s="561"/>
      <c r="D1426" s="561"/>
      <c r="E1426" s="493"/>
      <c r="F1426" s="69"/>
      <c r="G1426" s="69"/>
      <c r="H1426" s="178">
        <f t="shared" si="44"/>
        <v>0</v>
      </c>
      <c r="I1426" s="178">
        <f t="shared" si="45"/>
        <v>0</v>
      </c>
      <c r="J1426" s="109"/>
    </row>
    <row r="1427" spans="1:10" hidden="1">
      <c r="A1427" s="1558"/>
      <c r="B1427" s="425"/>
      <c r="C1427" s="561"/>
      <c r="D1427" s="493"/>
      <c r="E1427" s="493"/>
      <c r="F1427" s="69"/>
      <c r="G1427" s="69"/>
      <c r="H1427" s="178">
        <f t="shared" si="44"/>
        <v>0</v>
      </c>
      <c r="I1427" s="178">
        <f t="shared" si="45"/>
        <v>0</v>
      </c>
      <c r="J1427" s="109"/>
    </row>
    <row r="1428" spans="1:10" hidden="1">
      <c r="A1428" s="1558"/>
      <c r="B1428" s="425"/>
      <c r="C1428" s="561"/>
      <c r="D1428" s="561"/>
      <c r="E1428" s="577"/>
      <c r="F1428" s="69"/>
      <c r="G1428" s="69"/>
      <c r="H1428" s="178">
        <f t="shared" si="44"/>
        <v>0</v>
      </c>
      <c r="I1428" s="178">
        <f t="shared" si="45"/>
        <v>0</v>
      </c>
      <c r="J1428" s="109"/>
    </row>
    <row r="1429" spans="1:10" hidden="1">
      <c r="A1429" s="1558"/>
      <c r="B1429" s="427"/>
      <c r="C1429" s="579"/>
      <c r="D1429" s="579"/>
      <c r="E1429" s="579"/>
      <c r="F1429" s="69"/>
      <c r="G1429" s="69"/>
      <c r="H1429" s="178">
        <f t="shared" si="44"/>
        <v>0</v>
      </c>
      <c r="I1429" s="178">
        <f t="shared" si="45"/>
        <v>0</v>
      </c>
      <c r="J1429" s="109"/>
    </row>
    <row r="1430" spans="1:10" hidden="1">
      <c r="A1430" s="1558"/>
      <c r="B1430" s="427"/>
      <c r="C1430" s="579"/>
      <c r="D1430" s="579"/>
      <c r="E1430" s="579"/>
      <c r="F1430" s="69"/>
      <c r="G1430" s="69"/>
      <c r="H1430" s="178">
        <f t="shared" si="44"/>
        <v>0</v>
      </c>
      <c r="I1430" s="178">
        <f t="shared" si="45"/>
        <v>0</v>
      </c>
      <c r="J1430" s="109"/>
    </row>
    <row r="1431" spans="1:10" hidden="1">
      <c r="A1431" s="1558"/>
      <c r="B1431" s="427"/>
      <c r="C1431" s="579"/>
      <c r="D1431" s="579"/>
      <c r="E1431" s="579"/>
      <c r="F1431" s="69"/>
      <c r="G1431" s="69"/>
      <c r="H1431" s="178">
        <f t="shared" si="44"/>
        <v>0</v>
      </c>
      <c r="I1431" s="178">
        <f t="shared" si="45"/>
        <v>0</v>
      </c>
      <c r="J1431" s="109"/>
    </row>
    <row r="1432" spans="1:10" hidden="1">
      <c r="A1432" s="1558"/>
      <c r="B1432" s="427"/>
      <c r="C1432" s="579"/>
      <c r="D1432" s="579"/>
      <c r="E1432" s="579"/>
      <c r="F1432" s="69"/>
      <c r="G1432" s="69"/>
      <c r="H1432" s="178">
        <f t="shared" si="44"/>
        <v>0</v>
      </c>
      <c r="I1432" s="178">
        <f t="shared" si="45"/>
        <v>0</v>
      </c>
      <c r="J1432" s="109"/>
    </row>
    <row r="1433" spans="1:10" hidden="1">
      <c r="A1433" s="1558"/>
      <c r="B1433" s="427"/>
      <c r="C1433" s="579"/>
      <c r="D1433" s="579"/>
      <c r="E1433" s="579"/>
      <c r="F1433" s="69"/>
      <c r="G1433" s="69"/>
      <c r="H1433" s="178">
        <f t="shared" si="44"/>
        <v>0</v>
      </c>
      <c r="I1433" s="178">
        <f t="shared" si="45"/>
        <v>0</v>
      </c>
      <c r="J1433" s="109"/>
    </row>
    <row r="1434" spans="1:10" hidden="1">
      <c r="A1434" s="1558"/>
      <c r="B1434" s="427"/>
      <c r="C1434" s="579"/>
      <c r="D1434" s="579"/>
      <c r="E1434" s="579"/>
      <c r="F1434" s="69"/>
      <c r="G1434" s="69"/>
      <c r="H1434" s="178">
        <f t="shared" si="44"/>
        <v>0</v>
      </c>
      <c r="I1434" s="178">
        <f t="shared" si="45"/>
        <v>0</v>
      </c>
      <c r="J1434" s="109"/>
    </row>
    <row r="1435" spans="1:10" hidden="1">
      <c r="A1435" s="1558"/>
      <c r="B1435" s="427"/>
      <c r="C1435" s="578"/>
      <c r="D1435" s="578"/>
      <c r="E1435" s="579"/>
      <c r="F1435" s="69"/>
      <c r="G1435" s="69"/>
      <c r="H1435" s="178">
        <f t="shared" si="44"/>
        <v>0</v>
      </c>
      <c r="I1435" s="178">
        <f t="shared" si="45"/>
        <v>0</v>
      </c>
      <c r="J1435" s="109"/>
    </row>
    <row r="1436" spans="1:10" hidden="1">
      <c r="A1436" s="1558"/>
      <c r="B1436" s="427"/>
      <c r="C1436" s="578"/>
      <c r="D1436" s="578"/>
      <c r="E1436" s="579"/>
      <c r="F1436" s="69"/>
      <c r="G1436" s="69"/>
      <c r="H1436" s="178">
        <f t="shared" si="44"/>
        <v>0</v>
      </c>
      <c r="I1436" s="178">
        <f t="shared" si="45"/>
        <v>0</v>
      </c>
      <c r="J1436" s="109"/>
    </row>
    <row r="1437" spans="1:10" hidden="1">
      <c r="A1437" s="1558"/>
      <c r="B1437" s="427"/>
      <c r="C1437" s="578"/>
      <c r="D1437" s="578"/>
      <c r="E1437" s="579"/>
      <c r="F1437" s="69"/>
      <c r="G1437" s="69"/>
      <c r="H1437" s="178">
        <f t="shared" si="44"/>
        <v>0</v>
      </c>
      <c r="I1437" s="178">
        <f t="shared" si="45"/>
        <v>0</v>
      </c>
      <c r="J1437" s="109"/>
    </row>
    <row r="1438" spans="1:10" hidden="1">
      <c r="A1438" s="1558"/>
      <c r="B1438" s="425"/>
      <c r="C1438" s="578"/>
      <c r="D1438" s="578"/>
      <c r="E1438" s="580"/>
      <c r="F1438" s="69"/>
      <c r="G1438" s="69"/>
      <c r="H1438" s="178">
        <f t="shared" si="44"/>
        <v>0</v>
      </c>
      <c r="I1438" s="178">
        <f t="shared" si="45"/>
        <v>0</v>
      </c>
      <c r="J1438" s="109"/>
    </row>
    <row r="1439" spans="1:10" hidden="1">
      <c r="A1439" s="1558"/>
      <c r="B1439" s="425"/>
      <c r="C1439" s="578"/>
      <c r="D1439" s="578"/>
      <c r="E1439" s="580"/>
      <c r="F1439" s="69"/>
      <c r="G1439" s="69"/>
      <c r="H1439" s="178">
        <f t="shared" si="44"/>
        <v>0</v>
      </c>
      <c r="I1439" s="178">
        <f t="shared" si="45"/>
        <v>0</v>
      </c>
      <c r="J1439" s="109"/>
    </row>
    <row r="1440" spans="1:10" hidden="1">
      <c r="A1440" s="1558"/>
      <c r="B1440" s="425"/>
      <c r="C1440" s="578"/>
      <c r="D1440" s="578"/>
      <c r="E1440" s="580"/>
      <c r="F1440" s="69"/>
      <c r="G1440" s="69"/>
      <c r="H1440" s="178">
        <f t="shared" si="44"/>
        <v>0</v>
      </c>
      <c r="I1440" s="178">
        <f t="shared" si="45"/>
        <v>0</v>
      </c>
      <c r="J1440" s="109"/>
    </row>
    <row r="1441" spans="1:10" hidden="1">
      <c r="A1441" s="1558"/>
      <c r="B1441" s="425"/>
      <c r="C1441" s="578"/>
      <c r="D1441" s="578"/>
      <c r="E1441" s="580"/>
      <c r="F1441" s="69"/>
      <c r="G1441" s="69"/>
      <c r="H1441" s="178">
        <f t="shared" si="44"/>
        <v>0</v>
      </c>
      <c r="I1441" s="178">
        <f t="shared" si="45"/>
        <v>0</v>
      </c>
      <c r="J1441" s="109"/>
    </row>
    <row r="1442" spans="1:10" hidden="1">
      <c r="A1442" s="1558"/>
      <c r="B1442" s="425"/>
      <c r="C1442" s="578"/>
      <c r="D1442" s="578"/>
      <c r="E1442" s="580"/>
      <c r="F1442" s="69"/>
      <c r="G1442" s="69"/>
      <c r="H1442" s="178">
        <f t="shared" si="44"/>
        <v>0</v>
      </c>
      <c r="I1442" s="178">
        <f t="shared" si="45"/>
        <v>0</v>
      </c>
      <c r="J1442" s="109"/>
    </row>
    <row r="1443" spans="1:10" hidden="1">
      <c r="A1443" s="1558"/>
      <c r="B1443" s="425"/>
      <c r="C1443" s="578"/>
      <c r="D1443" s="578"/>
      <c r="E1443" s="580"/>
      <c r="F1443" s="69"/>
      <c r="G1443" s="69"/>
      <c r="H1443" s="178">
        <f t="shared" si="44"/>
        <v>0</v>
      </c>
      <c r="I1443" s="178">
        <f t="shared" si="45"/>
        <v>0</v>
      </c>
      <c r="J1443" s="109"/>
    </row>
    <row r="1444" spans="1:10" hidden="1">
      <c r="A1444" s="1558"/>
      <c r="B1444" s="425"/>
      <c r="C1444" s="578"/>
      <c r="D1444" s="578"/>
      <c r="E1444" s="580"/>
      <c r="F1444" s="69"/>
      <c r="G1444" s="69"/>
      <c r="H1444" s="178">
        <f t="shared" si="44"/>
        <v>0</v>
      </c>
      <c r="I1444" s="178">
        <f t="shared" si="45"/>
        <v>0</v>
      </c>
      <c r="J1444" s="109"/>
    </row>
    <row r="1445" spans="1:10" hidden="1">
      <c r="A1445" s="1558"/>
      <c r="B1445" s="425"/>
      <c r="C1445" s="578"/>
      <c r="D1445" s="578"/>
      <c r="E1445" s="580"/>
      <c r="F1445" s="69"/>
      <c r="G1445" s="69"/>
      <c r="H1445" s="178">
        <f t="shared" si="44"/>
        <v>0</v>
      </c>
      <c r="I1445" s="178">
        <f t="shared" si="45"/>
        <v>0</v>
      </c>
      <c r="J1445" s="109"/>
    </row>
    <row r="1446" spans="1:10" hidden="1">
      <c r="A1446" s="1558"/>
      <c r="B1446" s="425"/>
      <c r="C1446" s="578"/>
      <c r="D1446" s="578"/>
      <c r="E1446" s="580"/>
      <c r="F1446" s="69"/>
      <c r="G1446" s="69"/>
      <c r="H1446" s="178">
        <f t="shared" si="44"/>
        <v>0</v>
      </c>
      <c r="I1446" s="178">
        <f t="shared" si="45"/>
        <v>0</v>
      </c>
      <c r="J1446" s="109"/>
    </row>
    <row r="1447" spans="1:10" hidden="1">
      <c r="A1447" s="1558"/>
      <c r="B1447" s="425"/>
      <c r="C1447" s="561"/>
      <c r="D1447" s="493"/>
      <c r="E1447" s="493"/>
      <c r="F1447" s="69"/>
      <c r="G1447" s="69"/>
      <c r="H1447" s="178">
        <f t="shared" si="44"/>
        <v>0</v>
      </c>
      <c r="I1447" s="178">
        <f t="shared" si="45"/>
        <v>0</v>
      </c>
      <c r="J1447" s="109"/>
    </row>
    <row r="1448" spans="1:10" hidden="1">
      <c r="A1448" s="1558"/>
      <c r="B1448" s="425"/>
      <c r="C1448" s="578"/>
      <c r="D1448" s="578"/>
      <c r="E1448" s="580"/>
      <c r="F1448" s="69"/>
      <c r="G1448" s="69"/>
      <c r="H1448" s="178">
        <f t="shared" si="44"/>
        <v>0</v>
      </c>
      <c r="I1448" s="178">
        <f t="shared" si="45"/>
        <v>0</v>
      </c>
      <c r="J1448" s="109"/>
    </row>
    <row r="1449" spans="1:10" hidden="1">
      <c r="A1449" s="1558"/>
      <c r="B1449" s="425"/>
      <c r="C1449" s="578"/>
      <c r="D1449" s="578"/>
      <c r="E1449" s="580"/>
      <c r="F1449" s="69"/>
      <c r="G1449" s="69"/>
      <c r="H1449" s="178">
        <f t="shared" si="44"/>
        <v>0</v>
      </c>
      <c r="I1449" s="178">
        <f t="shared" si="45"/>
        <v>0</v>
      </c>
      <c r="J1449" s="109"/>
    </row>
    <row r="1450" spans="1:10" hidden="1">
      <c r="A1450" s="1558"/>
      <c r="B1450" s="425"/>
      <c r="C1450" s="578"/>
      <c r="D1450" s="578"/>
      <c r="E1450" s="580"/>
      <c r="F1450" s="69"/>
      <c r="G1450" s="69"/>
      <c r="H1450" s="178">
        <f t="shared" si="44"/>
        <v>0</v>
      </c>
      <c r="I1450" s="178">
        <f t="shared" si="45"/>
        <v>0</v>
      </c>
      <c r="J1450" s="109"/>
    </row>
    <row r="1451" spans="1:10" hidden="1">
      <c r="A1451" s="1558"/>
      <c r="B1451" s="425"/>
      <c r="C1451" s="578"/>
      <c r="D1451" s="578"/>
      <c r="E1451" s="580"/>
      <c r="F1451" s="69"/>
      <c r="G1451" s="69"/>
      <c r="H1451" s="178">
        <f t="shared" si="44"/>
        <v>0</v>
      </c>
      <c r="I1451" s="178">
        <f t="shared" si="45"/>
        <v>0</v>
      </c>
      <c r="J1451" s="109"/>
    </row>
    <row r="1452" spans="1:10" hidden="1">
      <c r="A1452" s="1558"/>
      <c r="B1452" s="425"/>
      <c r="C1452" s="578"/>
      <c r="D1452" s="578"/>
      <c r="E1452" s="580"/>
      <c r="F1452" s="69"/>
      <c r="G1452" s="69"/>
      <c r="H1452" s="178">
        <f t="shared" si="44"/>
        <v>0</v>
      </c>
      <c r="I1452" s="178">
        <f t="shared" si="45"/>
        <v>0</v>
      </c>
      <c r="J1452" s="109"/>
    </row>
    <row r="1453" spans="1:10" hidden="1">
      <c r="A1453" s="1558"/>
      <c r="B1453" s="425"/>
      <c r="C1453" s="578"/>
      <c r="D1453" s="578"/>
      <c r="E1453" s="580"/>
      <c r="F1453" s="69"/>
      <c r="G1453" s="69"/>
      <c r="H1453" s="178">
        <f t="shared" si="44"/>
        <v>0</v>
      </c>
      <c r="I1453" s="178">
        <f t="shared" si="45"/>
        <v>0</v>
      </c>
      <c r="J1453" s="109"/>
    </row>
    <row r="1454" spans="1:10" hidden="1">
      <c r="A1454" s="1558"/>
      <c r="B1454" s="425"/>
      <c r="C1454" s="578"/>
      <c r="D1454" s="578"/>
      <c r="E1454" s="580"/>
      <c r="F1454" s="69"/>
      <c r="G1454" s="69"/>
      <c r="H1454" s="178">
        <f t="shared" si="44"/>
        <v>0</v>
      </c>
      <c r="I1454" s="178">
        <f t="shared" si="45"/>
        <v>0</v>
      </c>
      <c r="J1454" s="109"/>
    </row>
    <row r="1455" spans="1:10" hidden="1">
      <c r="A1455" s="1558"/>
      <c r="B1455" s="425"/>
      <c r="C1455" s="578"/>
      <c r="D1455" s="578"/>
      <c r="E1455" s="580"/>
      <c r="F1455" s="69"/>
      <c r="G1455" s="69"/>
      <c r="H1455" s="178">
        <f t="shared" si="44"/>
        <v>0</v>
      </c>
      <c r="I1455" s="178">
        <f t="shared" si="45"/>
        <v>0</v>
      </c>
      <c r="J1455" s="109"/>
    </row>
    <row r="1456" spans="1:10" hidden="1">
      <c r="A1456" s="1558"/>
      <c r="B1456" s="425"/>
      <c r="C1456" s="578"/>
      <c r="D1456" s="578"/>
      <c r="E1456" s="580"/>
      <c r="F1456" s="69"/>
      <c r="G1456" s="69"/>
      <c r="H1456" s="178">
        <f t="shared" si="44"/>
        <v>0</v>
      </c>
      <c r="I1456" s="178">
        <f t="shared" si="45"/>
        <v>0</v>
      </c>
      <c r="J1456" s="109"/>
    </row>
    <row r="1457" spans="1:11" hidden="1">
      <c r="A1457" s="1558"/>
      <c r="B1457" s="425"/>
      <c r="C1457" s="578"/>
      <c r="D1457" s="578"/>
      <c r="E1457" s="580"/>
      <c r="F1457" s="69"/>
      <c r="G1457" s="69"/>
      <c r="H1457" s="178">
        <f t="shared" si="44"/>
        <v>0</v>
      </c>
      <c r="I1457" s="178">
        <f t="shared" si="45"/>
        <v>0</v>
      </c>
      <c r="J1457" s="109"/>
    </row>
    <row r="1458" spans="1:11" hidden="1">
      <c r="A1458" s="1558"/>
      <c r="B1458" s="425"/>
      <c r="C1458" s="578"/>
      <c r="D1458" s="578"/>
      <c r="E1458" s="580"/>
      <c r="F1458" s="69"/>
      <c r="G1458" s="69"/>
      <c r="H1458" s="178">
        <f t="shared" si="44"/>
        <v>0</v>
      </c>
      <c r="I1458" s="178">
        <f t="shared" si="45"/>
        <v>0</v>
      </c>
      <c r="J1458" s="109"/>
    </row>
    <row r="1459" spans="1:11" hidden="1">
      <c r="A1459" s="1558"/>
      <c r="B1459" s="425"/>
      <c r="C1459" s="578"/>
      <c r="D1459" s="578"/>
      <c r="E1459" s="580"/>
      <c r="F1459" s="69"/>
      <c r="G1459" s="69"/>
      <c r="H1459" s="178">
        <f t="shared" si="44"/>
        <v>0</v>
      </c>
      <c r="I1459" s="178">
        <f t="shared" si="45"/>
        <v>0</v>
      </c>
      <c r="J1459" s="109"/>
    </row>
    <row r="1460" spans="1:11" hidden="1">
      <c r="A1460" s="1558"/>
      <c r="B1460" s="530"/>
      <c r="C1460" s="561"/>
      <c r="D1460" s="577"/>
      <c r="E1460" s="577"/>
      <c r="F1460" s="69"/>
      <c r="G1460" s="69"/>
      <c r="H1460" s="178">
        <f t="shared" si="44"/>
        <v>0</v>
      </c>
      <c r="I1460" s="178">
        <f t="shared" si="45"/>
        <v>0</v>
      </c>
      <c r="J1460" s="109"/>
    </row>
    <row r="1461" spans="1:11" hidden="1">
      <c r="A1461" s="1558"/>
      <c r="B1461" s="209" t="s">
        <v>985</v>
      </c>
      <c r="C1461" s="588">
        <f>SUM(C1414:C1460)</f>
        <v>0</v>
      </c>
      <c r="D1461" s="588">
        <f>SUM(D1414:D1460)</f>
        <v>0</v>
      </c>
      <c r="E1461" s="588">
        <f>SUM(E1414:E1460)</f>
        <v>0</v>
      </c>
      <c r="F1461" s="115">
        <f>SUM(F1414:F1460)</f>
        <v>0</v>
      </c>
      <c r="G1461" s="115">
        <f>SUM(G1414:G1460)</f>
        <v>0</v>
      </c>
      <c r="H1461" s="178">
        <f t="shared" si="44"/>
        <v>0</v>
      </c>
      <c r="I1461" s="178">
        <f t="shared" si="45"/>
        <v>0</v>
      </c>
      <c r="J1461" s="109"/>
    </row>
    <row r="1462" spans="1:11" ht="37.5">
      <c r="A1462" s="1558" t="s">
        <v>1087</v>
      </c>
      <c r="B1462" s="1154" t="s">
        <v>1200</v>
      </c>
      <c r="C1462" s="590">
        <v>585000</v>
      </c>
      <c r="D1462" s="590"/>
      <c r="E1462" s="590">
        <v>585000</v>
      </c>
      <c r="F1462" s="180"/>
      <c r="G1462" s="180"/>
      <c r="H1462" s="1436">
        <f t="shared" si="44"/>
        <v>0</v>
      </c>
      <c r="I1462" s="1436">
        <f t="shared" si="45"/>
        <v>1170000</v>
      </c>
      <c r="J1462" s="1439"/>
      <c r="K1462" s="1435"/>
    </row>
    <row r="1463" spans="1:11" hidden="1">
      <c r="A1463" s="1558"/>
      <c r="B1463" s="530"/>
      <c r="C1463" s="573"/>
      <c r="D1463" s="574"/>
      <c r="E1463" s="574"/>
      <c r="F1463" s="69"/>
      <c r="G1463" s="69"/>
      <c r="H1463" s="178">
        <f t="shared" si="44"/>
        <v>0</v>
      </c>
      <c r="I1463" s="178">
        <f t="shared" si="45"/>
        <v>0</v>
      </c>
      <c r="J1463" s="109"/>
    </row>
    <row r="1464" spans="1:11" hidden="1">
      <c r="A1464" s="1558"/>
      <c r="B1464" s="758"/>
      <c r="C1464" s="760"/>
      <c r="D1464" s="760"/>
      <c r="E1464" s="760"/>
      <c r="F1464" s="69"/>
      <c r="G1464" s="69"/>
      <c r="H1464" s="178">
        <f t="shared" si="44"/>
        <v>0</v>
      </c>
      <c r="I1464" s="178">
        <f t="shared" si="45"/>
        <v>0</v>
      </c>
      <c r="J1464" s="109"/>
    </row>
    <row r="1465" spans="1:11" hidden="1">
      <c r="A1465" s="1558"/>
      <c r="B1465" s="425"/>
      <c r="C1465" s="493"/>
      <c r="D1465" s="493"/>
      <c r="E1465" s="493"/>
      <c r="F1465" s="69"/>
      <c r="G1465" s="69"/>
      <c r="H1465" s="178">
        <f t="shared" si="44"/>
        <v>0</v>
      </c>
      <c r="I1465" s="178">
        <f t="shared" si="45"/>
        <v>0</v>
      </c>
      <c r="J1465" s="109"/>
    </row>
    <row r="1466" spans="1:11" hidden="1">
      <c r="A1466" s="1558"/>
      <c r="B1466" s="425"/>
      <c r="C1466" s="493"/>
      <c r="D1466" s="493"/>
      <c r="E1466" s="493"/>
      <c r="F1466" s="69"/>
      <c r="G1466" s="69"/>
      <c r="H1466" s="178">
        <f t="shared" si="44"/>
        <v>0</v>
      </c>
      <c r="I1466" s="178">
        <f t="shared" si="45"/>
        <v>0</v>
      </c>
      <c r="J1466" s="109"/>
    </row>
    <row r="1467" spans="1:11" hidden="1">
      <c r="A1467" s="1558"/>
      <c r="B1467" s="425"/>
      <c r="C1467" s="561"/>
      <c r="D1467" s="561"/>
      <c r="E1467" s="493"/>
      <c r="F1467" s="69"/>
      <c r="G1467" s="69"/>
      <c r="H1467" s="178">
        <f t="shared" si="44"/>
        <v>0</v>
      </c>
      <c r="I1467" s="178">
        <f t="shared" si="45"/>
        <v>0</v>
      </c>
      <c r="J1467" s="109"/>
    </row>
    <row r="1468" spans="1:11" hidden="1">
      <c r="A1468" s="1558"/>
      <c r="B1468" s="425"/>
      <c r="C1468" s="561"/>
      <c r="D1468" s="561"/>
      <c r="E1468" s="493"/>
      <c r="F1468" s="69"/>
      <c r="G1468" s="69"/>
      <c r="H1468" s="178">
        <f t="shared" si="44"/>
        <v>0</v>
      </c>
      <c r="I1468" s="178">
        <f t="shared" si="45"/>
        <v>0</v>
      </c>
      <c r="J1468" s="109"/>
    </row>
    <row r="1469" spans="1:11" hidden="1">
      <c r="A1469" s="1558"/>
      <c r="B1469" s="425"/>
      <c r="C1469" s="561"/>
      <c r="D1469" s="561"/>
      <c r="E1469" s="493"/>
      <c r="F1469" s="69"/>
      <c r="G1469" s="69"/>
      <c r="H1469" s="178">
        <f t="shared" si="44"/>
        <v>0</v>
      </c>
      <c r="I1469" s="178">
        <f t="shared" si="45"/>
        <v>0</v>
      </c>
      <c r="J1469" s="109"/>
    </row>
    <row r="1470" spans="1:11" hidden="1">
      <c r="A1470" s="1558"/>
      <c r="B1470" s="425"/>
      <c r="C1470" s="493"/>
      <c r="D1470" s="493"/>
      <c r="E1470" s="493"/>
      <c r="F1470" s="69"/>
      <c r="G1470" s="69"/>
      <c r="H1470" s="178">
        <f t="shared" si="44"/>
        <v>0</v>
      </c>
      <c r="I1470" s="178">
        <f t="shared" si="45"/>
        <v>0</v>
      </c>
      <c r="J1470" s="109"/>
    </row>
    <row r="1471" spans="1:11" hidden="1">
      <c r="A1471" s="1558"/>
      <c r="B1471" s="425"/>
      <c r="C1471" s="561"/>
      <c r="D1471" s="561"/>
      <c r="E1471" s="493"/>
      <c r="F1471" s="69"/>
      <c r="G1471" s="69"/>
      <c r="H1471" s="178">
        <f t="shared" si="44"/>
        <v>0</v>
      </c>
      <c r="I1471" s="178">
        <f t="shared" si="45"/>
        <v>0</v>
      </c>
      <c r="J1471" s="109"/>
    </row>
    <row r="1472" spans="1:11" hidden="1">
      <c r="A1472" s="1558"/>
      <c r="B1472" s="425"/>
      <c r="C1472" s="561"/>
      <c r="D1472" s="561"/>
      <c r="E1472" s="493"/>
      <c r="F1472" s="69"/>
      <c r="G1472" s="69"/>
      <c r="H1472" s="178">
        <f t="shared" si="44"/>
        <v>0</v>
      </c>
      <c r="I1472" s="178">
        <f t="shared" si="45"/>
        <v>0</v>
      </c>
      <c r="J1472" s="109"/>
    </row>
    <row r="1473" spans="1:10" hidden="1">
      <c r="A1473" s="1558"/>
      <c r="B1473" s="425"/>
      <c r="C1473" s="561"/>
      <c r="D1473" s="561"/>
      <c r="E1473" s="493"/>
      <c r="F1473" s="69"/>
      <c r="G1473" s="69"/>
      <c r="H1473" s="178">
        <f t="shared" si="44"/>
        <v>0</v>
      </c>
      <c r="I1473" s="178">
        <f t="shared" si="45"/>
        <v>0</v>
      </c>
      <c r="J1473" s="109"/>
    </row>
    <row r="1474" spans="1:10" hidden="1">
      <c r="A1474" s="1558"/>
      <c r="B1474" s="425"/>
      <c r="C1474" s="561"/>
      <c r="D1474" s="561"/>
      <c r="E1474" s="493"/>
      <c r="F1474" s="69"/>
      <c r="G1474" s="69"/>
      <c r="H1474" s="178">
        <f t="shared" si="44"/>
        <v>0</v>
      </c>
      <c r="I1474" s="178">
        <f t="shared" si="45"/>
        <v>0</v>
      </c>
      <c r="J1474" s="109"/>
    </row>
    <row r="1475" spans="1:10" hidden="1">
      <c r="A1475" s="1558"/>
      <c r="B1475" s="425"/>
      <c r="C1475" s="561"/>
      <c r="D1475" s="493"/>
      <c r="E1475" s="493"/>
      <c r="F1475" s="69"/>
      <c r="G1475" s="69"/>
      <c r="H1475" s="178">
        <f t="shared" si="44"/>
        <v>0</v>
      </c>
      <c r="I1475" s="178">
        <f t="shared" si="45"/>
        <v>0</v>
      </c>
      <c r="J1475" s="109"/>
    </row>
    <row r="1476" spans="1:10" hidden="1">
      <c r="A1476" s="1558"/>
      <c r="B1476" s="425"/>
      <c r="C1476" s="561"/>
      <c r="D1476" s="561"/>
      <c r="E1476" s="577"/>
      <c r="F1476" s="69"/>
      <c r="G1476" s="69"/>
      <c r="H1476" s="178">
        <f t="shared" si="44"/>
        <v>0</v>
      </c>
      <c r="I1476" s="178">
        <f t="shared" si="45"/>
        <v>0</v>
      </c>
      <c r="J1476" s="109"/>
    </row>
    <row r="1477" spans="1:10" hidden="1">
      <c r="A1477" s="1558"/>
      <c r="B1477" s="427"/>
      <c r="C1477" s="579"/>
      <c r="D1477" s="579"/>
      <c r="E1477" s="579"/>
      <c r="F1477" s="69"/>
      <c r="G1477" s="69"/>
      <c r="H1477" s="178">
        <f t="shared" si="44"/>
        <v>0</v>
      </c>
      <c r="I1477" s="178">
        <f t="shared" si="45"/>
        <v>0</v>
      </c>
      <c r="J1477" s="109"/>
    </row>
    <row r="1478" spans="1:10" hidden="1">
      <c r="A1478" s="1558"/>
      <c r="B1478" s="427"/>
      <c r="C1478" s="579"/>
      <c r="D1478" s="579"/>
      <c r="E1478" s="579"/>
      <c r="F1478" s="69"/>
      <c r="G1478" s="69"/>
      <c r="H1478" s="178">
        <f t="shared" si="44"/>
        <v>0</v>
      </c>
      <c r="I1478" s="178">
        <f t="shared" si="45"/>
        <v>0</v>
      </c>
      <c r="J1478" s="109"/>
    </row>
    <row r="1479" spans="1:10" hidden="1">
      <c r="A1479" s="1558"/>
      <c r="B1479" s="427"/>
      <c r="C1479" s="579"/>
      <c r="D1479" s="579"/>
      <c r="E1479" s="579"/>
      <c r="F1479" s="69"/>
      <c r="G1479" s="69"/>
      <c r="H1479" s="178">
        <f t="shared" si="44"/>
        <v>0</v>
      </c>
      <c r="I1479" s="178">
        <f t="shared" si="45"/>
        <v>0</v>
      </c>
      <c r="J1479" s="109"/>
    </row>
    <row r="1480" spans="1:10" hidden="1">
      <c r="A1480" s="1558"/>
      <c r="B1480" s="427"/>
      <c r="C1480" s="579"/>
      <c r="D1480" s="579"/>
      <c r="E1480" s="579"/>
      <c r="F1480" s="69"/>
      <c r="G1480" s="69"/>
      <c r="H1480" s="178">
        <f t="shared" si="44"/>
        <v>0</v>
      </c>
      <c r="I1480" s="178">
        <f t="shared" si="45"/>
        <v>0</v>
      </c>
      <c r="J1480" s="109"/>
    </row>
    <row r="1481" spans="1:10" hidden="1">
      <c r="A1481" s="1558"/>
      <c r="B1481" s="427"/>
      <c r="C1481" s="579"/>
      <c r="D1481" s="579"/>
      <c r="E1481" s="579"/>
      <c r="F1481" s="69"/>
      <c r="G1481" s="69"/>
      <c r="H1481" s="178">
        <f t="shared" ref="H1481:H1544" si="46">E1481+D1481-C1481</f>
        <v>0</v>
      </c>
      <c r="I1481" s="178">
        <f t="shared" ref="I1481:I1544" si="47">SUM(C1481:E1481)</f>
        <v>0</v>
      </c>
      <c r="J1481" s="109"/>
    </row>
    <row r="1482" spans="1:10" hidden="1">
      <c r="A1482" s="1558"/>
      <c r="B1482" s="427"/>
      <c r="C1482" s="579"/>
      <c r="D1482" s="579"/>
      <c r="E1482" s="579"/>
      <c r="F1482" s="69"/>
      <c r="G1482" s="69"/>
      <c r="H1482" s="178">
        <f t="shared" si="46"/>
        <v>0</v>
      </c>
      <c r="I1482" s="178">
        <f t="shared" si="47"/>
        <v>0</v>
      </c>
      <c r="J1482" s="109"/>
    </row>
    <row r="1483" spans="1:10" hidden="1">
      <c r="A1483" s="1558"/>
      <c r="B1483" s="427"/>
      <c r="C1483" s="578"/>
      <c r="D1483" s="578"/>
      <c r="E1483" s="579"/>
      <c r="F1483" s="69"/>
      <c r="G1483" s="69"/>
      <c r="H1483" s="178">
        <f t="shared" si="46"/>
        <v>0</v>
      </c>
      <c r="I1483" s="178">
        <f t="shared" si="47"/>
        <v>0</v>
      </c>
      <c r="J1483" s="109"/>
    </row>
    <row r="1484" spans="1:10" hidden="1">
      <c r="A1484" s="1558"/>
      <c r="B1484" s="427"/>
      <c r="C1484" s="578"/>
      <c r="D1484" s="578"/>
      <c r="E1484" s="579"/>
      <c r="F1484" s="69"/>
      <c r="G1484" s="69"/>
      <c r="H1484" s="178">
        <f t="shared" si="46"/>
        <v>0</v>
      </c>
      <c r="I1484" s="178">
        <f t="shared" si="47"/>
        <v>0</v>
      </c>
      <c r="J1484" s="109"/>
    </row>
    <row r="1485" spans="1:10" hidden="1">
      <c r="A1485" s="1558"/>
      <c r="B1485" s="427"/>
      <c r="C1485" s="578"/>
      <c r="D1485" s="578"/>
      <c r="E1485" s="579"/>
      <c r="F1485" s="69"/>
      <c r="G1485" s="69"/>
      <c r="H1485" s="178">
        <f t="shared" si="46"/>
        <v>0</v>
      </c>
      <c r="I1485" s="178">
        <f t="shared" si="47"/>
        <v>0</v>
      </c>
      <c r="J1485" s="109"/>
    </row>
    <row r="1486" spans="1:10" hidden="1">
      <c r="A1486" s="1558"/>
      <c r="B1486" s="425"/>
      <c r="C1486" s="578"/>
      <c r="D1486" s="578"/>
      <c r="E1486" s="580"/>
      <c r="F1486" s="69"/>
      <c r="G1486" s="69"/>
      <c r="H1486" s="178">
        <f t="shared" si="46"/>
        <v>0</v>
      </c>
      <c r="I1486" s="178">
        <f t="shared" si="47"/>
        <v>0</v>
      </c>
      <c r="J1486" s="109"/>
    </row>
    <row r="1487" spans="1:10" hidden="1">
      <c r="A1487" s="1558"/>
      <c r="B1487" s="425"/>
      <c r="C1487" s="578"/>
      <c r="D1487" s="578"/>
      <c r="E1487" s="580"/>
      <c r="F1487" s="69"/>
      <c r="G1487" s="69"/>
      <c r="H1487" s="178">
        <f t="shared" si="46"/>
        <v>0</v>
      </c>
      <c r="I1487" s="178">
        <f t="shared" si="47"/>
        <v>0</v>
      </c>
      <c r="J1487" s="109"/>
    </row>
    <row r="1488" spans="1:10" hidden="1">
      <c r="A1488" s="1558"/>
      <c r="B1488" s="425"/>
      <c r="C1488" s="578"/>
      <c r="D1488" s="578"/>
      <c r="E1488" s="580"/>
      <c r="F1488" s="69"/>
      <c r="G1488" s="69"/>
      <c r="H1488" s="178">
        <f t="shared" si="46"/>
        <v>0</v>
      </c>
      <c r="I1488" s="178">
        <f t="shared" si="47"/>
        <v>0</v>
      </c>
      <c r="J1488" s="109"/>
    </row>
    <row r="1489" spans="1:10" hidden="1">
      <c r="A1489" s="1558"/>
      <c r="B1489" s="425"/>
      <c r="C1489" s="578"/>
      <c r="D1489" s="578"/>
      <c r="E1489" s="580"/>
      <c r="F1489" s="69"/>
      <c r="G1489" s="69"/>
      <c r="H1489" s="178">
        <f t="shared" si="46"/>
        <v>0</v>
      </c>
      <c r="I1489" s="178">
        <f t="shared" si="47"/>
        <v>0</v>
      </c>
      <c r="J1489" s="109"/>
    </row>
    <row r="1490" spans="1:10" hidden="1">
      <c r="A1490" s="1558"/>
      <c r="B1490" s="425"/>
      <c r="C1490" s="578"/>
      <c r="D1490" s="578"/>
      <c r="E1490" s="580"/>
      <c r="F1490" s="69"/>
      <c r="G1490" s="69"/>
      <c r="H1490" s="178">
        <f t="shared" si="46"/>
        <v>0</v>
      </c>
      <c r="I1490" s="178">
        <f t="shared" si="47"/>
        <v>0</v>
      </c>
      <c r="J1490" s="109"/>
    </row>
    <row r="1491" spans="1:10" hidden="1">
      <c r="A1491" s="1558"/>
      <c r="B1491" s="425"/>
      <c r="C1491" s="578"/>
      <c r="D1491" s="578"/>
      <c r="E1491" s="580"/>
      <c r="F1491" s="69"/>
      <c r="G1491" s="69"/>
      <c r="H1491" s="178">
        <f t="shared" si="46"/>
        <v>0</v>
      </c>
      <c r="I1491" s="178">
        <f t="shared" si="47"/>
        <v>0</v>
      </c>
      <c r="J1491" s="109"/>
    </row>
    <row r="1492" spans="1:10" hidden="1">
      <c r="A1492" s="1558"/>
      <c r="B1492" s="425"/>
      <c r="C1492" s="578"/>
      <c r="D1492" s="578"/>
      <c r="E1492" s="580"/>
      <c r="F1492" s="69"/>
      <c r="G1492" s="69"/>
      <c r="H1492" s="178">
        <f t="shared" si="46"/>
        <v>0</v>
      </c>
      <c r="I1492" s="178">
        <f t="shared" si="47"/>
        <v>0</v>
      </c>
      <c r="J1492" s="109"/>
    </row>
    <row r="1493" spans="1:10" hidden="1">
      <c r="A1493" s="1558"/>
      <c r="B1493" s="425"/>
      <c r="C1493" s="578"/>
      <c r="D1493" s="578"/>
      <c r="E1493" s="580"/>
      <c r="F1493" s="69"/>
      <c r="G1493" s="69"/>
      <c r="H1493" s="178">
        <f t="shared" si="46"/>
        <v>0</v>
      </c>
      <c r="I1493" s="178">
        <f t="shared" si="47"/>
        <v>0</v>
      </c>
      <c r="J1493" s="109"/>
    </row>
    <row r="1494" spans="1:10" hidden="1">
      <c r="A1494" s="1558"/>
      <c r="B1494" s="425"/>
      <c r="C1494" s="578"/>
      <c r="D1494" s="578"/>
      <c r="E1494" s="580"/>
      <c r="F1494" s="69"/>
      <c r="G1494" s="69"/>
      <c r="H1494" s="178">
        <f t="shared" si="46"/>
        <v>0</v>
      </c>
      <c r="I1494" s="178">
        <f t="shared" si="47"/>
        <v>0</v>
      </c>
      <c r="J1494" s="109"/>
    </row>
    <row r="1495" spans="1:10" hidden="1">
      <c r="A1495" s="1558"/>
      <c r="B1495" s="425"/>
      <c r="C1495" s="561"/>
      <c r="D1495" s="493"/>
      <c r="E1495" s="493"/>
      <c r="F1495" s="69"/>
      <c r="G1495" s="69"/>
      <c r="H1495" s="178">
        <f t="shared" si="46"/>
        <v>0</v>
      </c>
      <c r="I1495" s="178">
        <f t="shared" si="47"/>
        <v>0</v>
      </c>
      <c r="J1495" s="109"/>
    </row>
    <row r="1496" spans="1:10" hidden="1">
      <c r="A1496" s="1558"/>
      <c r="B1496" s="425"/>
      <c r="C1496" s="578"/>
      <c r="D1496" s="578"/>
      <c r="E1496" s="580"/>
      <c r="F1496" s="69"/>
      <c r="G1496" s="69"/>
      <c r="H1496" s="178">
        <f t="shared" si="46"/>
        <v>0</v>
      </c>
      <c r="I1496" s="178">
        <f t="shared" si="47"/>
        <v>0</v>
      </c>
      <c r="J1496" s="109"/>
    </row>
    <row r="1497" spans="1:10" hidden="1">
      <c r="A1497" s="1558"/>
      <c r="B1497" s="425"/>
      <c r="C1497" s="578"/>
      <c r="D1497" s="578"/>
      <c r="E1497" s="580"/>
      <c r="F1497" s="69"/>
      <c r="G1497" s="69"/>
      <c r="H1497" s="178">
        <f t="shared" si="46"/>
        <v>0</v>
      </c>
      <c r="I1497" s="178">
        <f t="shared" si="47"/>
        <v>0</v>
      </c>
      <c r="J1497" s="109"/>
    </row>
    <row r="1498" spans="1:10" hidden="1">
      <c r="A1498" s="1558"/>
      <c r="B1498" s="425"/>
      <c r="C1498" s="578"/>
      <c r="D1498" s="578"/>
      <c r="E1498" s="580"/>
      <c r="F1498" s="69"/>
      <c r="G1498" s="69"/>
      <c r="H1498" s="178">
        <f t="shared" si="46"/>
        <v>0</v>
      </c>
      <c r="I1498" s="178">
        <f t="shared" si="47"/>
        <v>0</v>
      </c>
      <c r="J1498" s="109"/>
    </row>
    <row r="1499" spans="1:10" hidden="1">
      <c r="A1499" s="1558"/>
      <c r="B1499" s="425"/>
      <c r="C1499" s="578"/>
      <c r="D1499" s="578"/>
      <c r="E1499" s="580"/>
      <c r="F1499" s="69"/>
      <c r="G1499" s="69"/>
      <c r="H1499" s="178">
        <f t="shared" si="46"/>
        <v>0</v>
      </c>
      <c r="I1499" s="178">
        <f t="shared" si="47"/>
        <v>0</v>
      </c>
      <c r="J1499" s="109"/>
    </row>
    <row r="1500" spans="1:10" hidden="1">
      <c r="A1500" s="1558"/>
      <c r="B1500" s="425"/>
      <c r="C1500" s="578"/>
      <c r="D1500" s="578"/>
      <c r="E1500" s="580"/>
      <c r="F1500" s="69"/>
      <c r="G1500" s="69"/>
      <c r="H1500" s="178">
        <f t="shared" si="46"/>
        <v>0</v>
      </c>
      <c r="I1500" s="178">
        <f t="shared" si="47"/>
        <v>0</v>
      </c>
      <c r="J1500" s="109"/>
    </row>
    <row r="1501" spans="1:10" hidden="1">
      <c r="A1501" s="1558"/>
      <c r="B1501" s="425"/>
      <c r="C1501" s="578"/>
      <c r="D1501" s="578"/>
      <c r="E1501" s="580"/>
      <c r="F1501" s="69"/>
      <c r="G1501" s="69"/>
      <c r="H1501" s="178">
        <f t="shared" si="46"/>
        <v>0</v>
      </c>
      <c r="I1501" s="178">
        <f t="shared" si="47"/>
        <v>0</v>
      </c>
      <c r="J1501" s="109"/>
    </row>
    <row r="1502" spans="1:10" hidden="1">
      <c r="A1502" s="1558"/>
      <c r="B1502" s="425"/>
      <c r="C1502" s="578"/>
      <c r="D1502" s="578"/>
      <c r="E1502" s="580"/>
      <c r="F1502" s="69"/>
      <c r="G1502" s="69"/>
      <c r="H1502" s="178">
        <f t="shared" si="46"/>
        <v>0</v>
      </c>
      <c r="I1502" s="178">
        <f t="shared" si="47"/>
        <v>0</v>
      </c>
      <c r="J1502" s="109"/>
    </row>
    <row r="1503" spans="1:10" hidden="1">
      <c r="A1503" s="1558"/>
      <c r="B1503" s="425"/>
      <c r="C1503" s="578"/>
      <c r="D1503" s="578"/>
      <c r="E1503" s="580"/>
      <c r="F1503" s="69"/>
      <c r="G1503" s="69"/>
      <c r="H1503" s="178">
        <f t="shared" si="46"/>
        <v>0</v>
      </c>
      <c r="I1503" s="178">
        <f t="shared" si="47"/>
        <v>0</v>
      </c>
      <c r="J1503" s="109"/>
    </row>
    <row r="1504" spans="1:10" hidden="1">
      <c r="A1504" s="1558"/>
      <c r="B1504" s="425"/>
      <c r="C1504" s="578"/>
      <c r="D1504" s="578"/>
      <c r="E1504" s="580"/>
      <c r="F1504" s="69"/>
      <c r="G1504" s="69"/>
      <c r="H1504" s="178">
        <f t="shared" si="46"/>
        <v>0</v>
      </c>
      <c r="I1504" s="178">
        <f t="shared" si="47"/>
        <v>0</v>
      </c>
      <c r="J1504" s="109"/>
    </row>
    <row r="1505" spans="1:11" hidden="1">
      <c r="A1505" s="1558"/>
      <c r="B1505" s="425"/>
      <c r="C1505" s="578"/>
      <c r="D1505" s="578"/>
      <c r="E1505" s="580"/>
      <c r="F1505" s="69"/>
      <c r="G1505" s="69"/>
      <c r="H1505" s="178">
        <f t="shared" si="46"/>
        <v>0</v>
      </c>
      <c r="I1505" s="178">
        <f t="shared" si="47"/>
        <v>0</v>
      </c>
      <c r="J1505" s="109"/>
    </row>
    <row r="1506" spans="1:11" hidden="1">
      <c r="A1506" s="1558"/>
      <c r="B1506" s="425"/>
      <c r="C1506" s="578"/>
      <c r="D1506" s="578"/>
      <c r="E1506" s="580"/>
      <c r="F1506" s="69"/>
      <c r="G1506" s="69"/>
      <c r="H1506" s="178">
        <f t="shared" si="46"/>
        <v>0</v>
      </c>
      <c r="I1506" s="178">
        <f t="shared" si="47"/>
        <v>0</v>
      </c>
      <c r="J1506" s="109"/>
    </row>
    <row r="1507" spans="1:11" hidden="1">
      <c r="A1507" s="1558"/>
      <c r="B1507" s="425"/>
      <c r="C1507" s="578"/>
      <c r="D1507" s="578"/>
      <c r="E1507" s="580"/>
      <c r="F1507" s="69"/>
      <c r="G1507" s="69"/>
      <c r="H1507" s="178">
        <f t="shared" si="46"/>
        <v>0</v>
      </c>
      <c r="I1507" s="178">
        <f t="shared" si="47"/>
        <v>0</v>
      </c>
      <c r="J1507" s="109"/>
    </row>
    <row r="1508" spans="1:11" hidden="1">
      <c r="A1508" s="1558"/>
      <c r="B1508" s="425"/>
      <c r="C1508" s="561"/>
      <c r="D1508" s="577"/>
      <c r="E1508" s="577"/>
      <c r="F1508" s="69"/>
      <c r="G1508" s="69"/>
      <c r="H1508" s="178">
        <f t="shared" si="46"/>
        <v>0</v>
      </c>
      <c r="I1508" s="178">
        <f t="shared" si="47"/>
        <v>0</v>
      </c>
      <c r="J1508" s="109"/>
    </row>
    <row r="1509" spans="1:11" ht="36.6" customHeight="1">
      <c r="A1509" s="1558"/>
      <c r="B1509" s="209" t="s">
        <v>985</v>
      </c>
      <c r="C1509" s="581">
        <f>SUM(C1462:C1508)</f>
        <v>585000</v>
      </c>
      <c r="D1509" s="581">
        <f>SUM(D1462:D1508)</f>
        <v>0</v>
      </c>
      <c r="E1509" s="581">
        <f>SUM(E1462:E1508)</f>
        <v>585000</v>
      </c>
      <c r="F1509" s="115">
        <f>SUM(F1462:F1508)</f>
        <v>0</v>
      </c>
      <c r="G1509" s="115">
        <f>SUM(G1462:G1508)</f>
        <v>0</v>
      </c>
      <c r="H1509" s="1436">
        <f t="shared" si="46"/>
        <v>0</v>
      </c>
      <c r="I1509" s="1436">
        <f t="shared" si="47"/>
        <v>1170000</v>
      </c>
      <c r="J1509" s="1439"/>
      <c r="K1509" s="1435"/>
    </row>
    <row r="1510" spans="1:11" hidden="1">
      <c r="A1510" s="1558" t="s">
        <v>891</v>
      </c>
      <c r="B1510" s="369"/>
      <c r="C1510" s="590"/>
      <c r="D1510" s="590"/>
      <c r="E1510" s="590"/>
      <c r="F1510" s="180"/>
      <c r="G1510" s="180"/>
      <c r="H1510" s="178">
        <f t="shared" si="46"/>
        <v>0</v>
      </c>
      <c r="I1510" s="178">
        <f t="shared" si="47"/>
        <v>0</v>
      </c>
      <c r="J1510" s="109"/>
    </row>
    <row r="1511" spans="1:11" hidden="1">
      <c r="A1511" s="1558"/>
      <c r="B1511" s="530"/>
      <c r="C1511" s="573"/>
      <c r="D1511" s="574"/>
      <c r="E1511" s="574"/>
      <c r="F1511" s="69"/>
      <c r="G1511" s="69"/>
      <c r="H1511" s="178">
        <f t="shared" si="46"/>
        <v>0</v>
      </c>
      <c r="I1511" s="178">
        <f t="shared" si="47"/>
        <v>0</v>
      </c>
      <c r="J1511" s="109"/>
    </row>
    <row r="1512" spans="1:11" hidden="1">
      <c r="A1512" s="1558"/>
      <c r="B1512" s="425"/>
      <c r="C1512" s="493"/>
      <c r="D1512" s="493"/>
      <c r="E1512" s="493"/>
      <c r="F1512" s="69"/>
      <c r="G1512" s="69"/>
      <c r="H1512" s="178">
        <f t="shared" si="46"/>
        <v>0</v>
      </c>
      <c r="I1512" s="178">
        <f t="shared" si="47"/>
        <v>0</v>
      </c>
      <c r="J1512" s="109"/>
    </row>
    <row r="1513" spans="1:11" hidden="1">
      <c r="A1513" s="1558"/>
      <c r="B1513" s="425"/>
      <c r="C1513" s="493"/>
      <c r="D1513" s="493"/>
      <c r="E1513" s="493"/>
      <c r="F1513" s="69"/>
      <c r="G1513" s="69"/>
      <c r="H1513" s="178">
        <f t="shared" si="46"/>
        <v>0</v>
      </c>
      <c r="I1513" s="178">
        <f t="shared" si="47"/>
        <v>0</v>
      </c>
      <c r="J1513" s="109"/>
    </row>
    <row r="1514" spans="1:11" hidden="1">
      <c r="A1514" s="1558"/>
      <c r="B1514" s="425"/>
      <c r="C1514" s="493"/>
      <c r="D1514" s="493"/>
      <c r="E1514" s="493"/>
      <c r="F1514" s="69"/>
      <c r="G1514" s="69"/>
      <c r="H1514" s="178">
        <f t="shared" si="46"/>
        <v>0</v>
      </c>
      <c r="I1514" s="178">
        <f t="shared" si="47"/>
        <v>0</v>
      </c>
      <c r="J1514" s="109"/>
    </row>
    <row r="1515" spans="1:11" hidden="1">
      <c r="A1515" s="1558"/>
      <c r="B1515" s="425"/>
      <c r="C1515" s="561"/>
      <c r="D1515" s="561"/>
      <c r="E1515" s="493"/>
      <c r="F1515" s="69"/>
      <c r="G1515" s="69"/>
      <c r="H1515" s="178">
        <f t="shared" si="46"/>
        <v>0</v>
      </c>
      <c r="I1515" s="178">
        <f t="shared" si="47"/>
        <v>0</v>
      </c>
      <c r="J1515" s="109"/>
    </row>
    <row r="1516" spans="1:11" hidden="1">
      <c r="A1516" s="1558"/>
      <c r="B1516" s="425"/>
      <c r="C1516" s="561"/>
      <c r="D1516" s="561"/>
      <c r="E1516" s="493"/>
      <c r="F1516" s="69"/>
      <c r="G1516" s="69"/>
      <c r="H1516" s="178">
        <f t="shared" si="46"/>
        <v>0</v>
      </c>
      <c r="I1516" s="178">
        <f t="shared" si="47"/>
        <v>0</v>
      </c>
      <c r="J1516" s="109"/>
    </row>
    <row r="1517" spans="1:11" hidden="1">
      <c r="A1517" s="1558"/>
      <c r="B1517" s="425"/>
      <c r="C1517" s="561"/>
      <c r="D1517" s="561"/>
      <c r="E1517" s="493"/>
      <c r="F1517" s="69"/>
      <c r="G1517" s="69"/>
      <c r="H1517" s="178">
        <f t="shared" si="46"/>
        <v>0</v>
      </c>
      <c r="I1517" s="178">
        <f t="shared" si="47"/>
        <v>0</v>
      </c>
      <c r="J1517" s="109"/>
    </row>
    <row r="1518" spans="1:11" hidden="1">
      <c r="A1518" s="1558"/>
      <c r="B1518" s="425"/>
      <c r="C1518" s="493"/>
      <c r="D1518" s="493"/>
      <c r="E1518" s="493"/>
      <c r="F1518" s="69"/>
      <c r="G1518" s="69"/>
      <c r="H1518" s="178">
        <f t="shared" si="46"/>
        <v>0</v>
      </c>
      <c r="I1518" s="178">
        <f t="shared" si="47"/>
        <v>0</v>
      </c>
      <c r="J1518" s="109"/>
    </row>
    <row r="1519" spans="1:11" hidden="1">
      <c r="A1519" s="1558"/>
      <c r="B1519" s="425"/>
      <c r="C1519" s="561"/>
      <c r="D1519" s="561"/>
      <c r="E1519" s="493"/>
      <c r="F1519" s="69"/>
      <c r="G1519" s="69"/>
      <c r="H1519" s="178">
        <f t="shared" si="46"/>
        <v>0</v>
      </c>
      <c r="I1519" s="178">
        <f t="shared" si="47"/>
        <v>0</v>
      </c>
      <c r="J1519" s="109"/>
    </row>
    <row r="1520" spans="1:11" hidden="1">
      <c r="A1520" s="1558"/>
      <c r="B1520" s="425"/>
      <c r="C1520" s="561"/>
      <c r="D1520" s="561"/>
      <c r="E1520" s="493"/>
      <c r="F1520" s="69"/>
      <c r="G1520" s="69"/>
      <c r="H1520" s="178">
        <f t="shared" si="46"/>
        <v>0</v>
      </c>
      <c r="I1520" s="178">
        <f t="shared" si="47"/>
        <v>0</v>
      </c>
      <c r="J1520" s="109"/>
    </row>
    <row r="1521" spans="1:10" hidden="1">
      <c r="A1521" s="1558"/>
      <c r="B1521" s="425"/>
      <c r="C1521" s="561"/>
      <c r="D1521" s="561"/>
      <c r="E1521" s="493"/>
      <c r="F1521" s="69"/>
      <c r="G1521" s="69"/>
      <c r="H1521" s="178">
        <f t="shared" si="46"/>
        <v>0</v>
      </c>
      <c r="I1521" s="178">
        <f t="shared" si="47"/>
        <v>0</v>
      </c>
      <c r="J1521" s="109"/>
    </row>
    <row r="1522" spans="1:10" hidden="1">
      <c r="A1522" s="1558"/>
      <c r="B1522" s="425"/>
      <c r="C1522" s="561"/>
      <c r="D1522" s="561"/>
      <c r="E1522" s="493"/>
      <c r="F1522" s="69"/>
      <c r="G1522" s="69"/>
      <c r="H1522" s="178">
        <f t="shared" si="46"/>
        <v>0</v>
      </c>
      <c r="I1522" s="178">
        <f t="shared" si="47"/>
        <v>0</v>
      </c>
      <c r="J1522" s="109"/>
    </row>
    <row r="1523" spans="1:10" hidden="1">
      <c r="A1523" s="1558"/>
      <c r="B1523" s="425"/>
      <c r="C1523" s="561"/>
      <c r="D1523" s="493"/>
      <c r="E1523" s="493"/>
      <c r="F1523" s="69"/>
      <c r="G1523" s="69"/>
      <c r="H1523" s="178">
        <f t="shared" si="46"/>
        <v>0</v>
      </c>
      <c r="I1523" s="178">
        <f t="shared" si="47"/>
        <v>0</v>
      </c>
      <c r="J1523" s="109"/>
    </row>
    <row r="1524" spans="1:10" hidden="1">
      <c r="A1524" s="1558"/>
      <c r="B1524" s="425"/>
      <c r="C1524" s="561"/>
      <c r="D1524" s="561"/>
      <c r="E1524" s="577"/>
      <c r="F1524" s="69"/>
      <c r="G1524" s="69"/>
      <c r="H1524" s="178">
        <f t="shared" si="46"/>
        <v>0</v>
      </c>
      <c r="I1524" s="178">
        <f t="shared" si="47"/>
        <v>0</v>
      </c>
      <c r="J1524" s="109"/>
    </row>
    <row r="1525" spans="1:10" hidden="1">
      <c r="A1525" s="1558"/>
      <c r="B1525" s="427"/>
      <c r="C1525" s="579"/>
      <c r="D1525" s="579"/>
      <c r="E1525" s="579"/>
      <c r="F1525" s="69"/>
      <c r="G1525" s="69"/>
      <c r="H1525" s="178">
        <f t="shared" si="46"/>
        <v>0</v>
      </c>
      <c r="I1525" s="178">
        <f t="shared" si="47"/>
        <v>0</v>
      </c>
      <c r="J1525" s="109"/>
    </row>
    <row r="1526" spans="1:10" hidden="1">
      <c r="A1526" s="1558"/>
      <c r="B1526" s="427"/>
      <c r="C1526" s="579"/>
      <c r="D1526" s="579"/>
      <c r="E1526" s="579"/>
      <c r="F1526" s="69"/>
      <c r="G1526" s="69"/>
      <c r="H1526" s="178">
        <f t="shared" si="46"/>
        <v>0</v>
      </c>
      <c r="I1526" s="178">
        <f t="shared" si="47"/>
        <v>0</v>
      </c>
      <c r="J1526" s="109"/>
    </row>
    <row r="1527" spans="1:10" hidden="1">
      <c r="A1527" s="1558"/>
      <c r="B1527" s="427"/>
      <c r="C1527" s="579"/>
      <c r="D1527" s="579"/>
      <c r="E1527" s="579"/>
      <c r="F1527" s="69"/>
      <c r="G1527" s="69"/>
      <c r="H1527" s="178">
        <f t="shared" si="46"/>
        <v>0</v>
      </c>
      <c r="I1527" s="178">
        <f t="shared" si="47"/>
        <v>0</v>
      </c>
      <c r="J1527" s="109"/>
    </row>
    <row r="1528" spans="1:10" hidden="1">
      <c r="A1528" s="1558"/>
      <c r="B1528" s="427"/>
      <c r="C1528" s="579"/>
      <c r="D1528" s="579"/>
      <c r="E1528" s="579"/>
      <c r="F1528" s="69"/>
      <c r="G1528" s="69"/>
      <c r="H1528" s="178">
        <f t="shared" si="46"/>
        <v>0</v>
      </c>
      <c r="I1528" s="178">
        <f t="shared" si="47"/>
        <v>0</v>
      </c>
      <c r="J1528" s="109"/>
    </row>
    <row r="1529" spans="1:10" hidden="1">
      <c r="A1529" s="1558"/>
      <c r="B1529" s="427"/>
      <c r="C1529" s="579"/>
      <c r="D1529" s="579"/>
      <c r="E1529" s="579"/>
      <c r="F1529" s="69"/>
      <c r="G1529" s="69"/>
      <c r="H1529" s="178">
        <f t="shared" si="46"/>
        <v>0</v>
      </c>
      <c r="I1529" s="178">
        <f t="shared" si="47"/>
        <v>0</v>
      </c>
      <c r="J1529" s="109"/>
    </row>
    <row r="1530" spans="1:10" hidden="1">
      <c r="A1530" s="1558"/>
      <c r="B1530" s="427"/>
      <c r="C1530" s="579"/>
      <c r="D1530" s="579"/>
      <c r="E1530" s="579"/>
      <c r="F1530" s="69"/>
      <c r="G1530" s="69"/>
      <c r="H1530" s="178">
        <f t="shared" si="46"/>
        <v>0</v>
      </c>
      <c r="I1530" s="178">
        <f t="shared" si="47"/>
        <v>0</v>
      </c>
      <c r="J1530" s="109"/>
    </row>
    <row r="1531" spans="1:10" hidden="1">
      <c r="A1531" s="1558"/>
      <c r="B1531" s="427"/>
      <c r="C1531" s="578"/>
      <c r="D1531" s="578"/>
      <c r="E1531" s="579"/>
      <c r="F1531" s="69"/>
      <c r="G1531" s="69"/>
      <c r="H1531" s="178">
        <f t="shared" si="46"/>
        <v>0</v>
      </c>
      <c r="I1531" s="178">
        <f t="shared" si="47"/>
        <v>0</v>
      </c>
      <c r="J1531" s="109"/>
    </row>
    <row r="1532" spans="1:10" hidden="1">
      <c r="A1532" s="1558"/>
      <c r="B1532" s="427"/>
      <c r="C1532" s="578"/>
      <c r="D1532" s="578"/>
      <c r="E1532" s="579"/>
      <c r="F1532" s="69"/>
      <c r="G1532" s="69"/>
      <c r="H1532" s="178">
        <f t="shared" si="46"/>
        <v>0</v>
      </c>
      <c r="I1532" s="178">
        <f t="shared" si="47"/>
        <v>0</v>
      </c>
      <c r="J1532" s="109"/>
    </row>
    <row r="1533" spans="1:10" hidden="1">
      <c r="A1533" s="1558"/>
      <c r="B1533" s="427"/>
      <c r="C1533" s="578"/>
      <c r="D1533" s="578"/>
      <c r="E1533" s="579"/>
      <c r="F1533" s="69"/>
      <c r="G1533" s="69"/>
      <c r="H1533" s="178">
        <f t="shared" si="46"/>
        <v>0</v>
      </c>
      <c r="I1533" s="178">
        <f t="shared" si="47"/>
        <v>0</v>
      </c>
      <c r="J1533" s="109"/>
    </row>
    <row r="1534" spans="1:10" hidden="1">
      <c r="A1534" s="1558"/>
      <c r="B1534" s="425"/>
      <c r="C1534" s="578"/>
      <c r="D1534" s="578"/>
      <c r="E1534" s="580"/>
      <c r="F1534" s="69"/>
      <c r="G1534" s="69"/>
      <c r="H1534" s="178">
        <f t="shared" si="46"/>
        <v>0</v>
      </c>
      <c r="I1534" s="178">
        <f t="shared" si="47"/>
        <v>0</v>
      </c>
      <c r="J1534" s="109"/>
    </row>
    <row r="1535" spans="1:10" hidden="1">
      <c r="A1535" s="1558"/>
      <c r="B1535" s="425"/>
      <c r="C1535" s="578"/>
      <c r="D1535" s="578"/>
      <c r="E1535" s="580"/>
      <c r="F1535" s="69"/>
      <c r="G1535" s="69"/>
      <c r="H1535" s="178">
        <f t="shared" si="46"/>
        <v>0</v>
      </c>
      <c r="I1535" s="178">
        <f t="shared" si="47"/>
        <v>0</v>
      </c>
      <c r="J1535" s="109"/>
    </row>
    <row r="1536" spans="1:10" hidden="1">
      <c r="A1536" s="1558"/>
      <c r="B1536" s="425"/>
      <c r="C1536" s="578"/>
      <c r="D1536" s="578"/>
      <c r="E1536" s="580"/>
      <c r="F1536" s="69"/>
      <c r="G1536" s="69"/>
      <c r="H1536" s="178">
        <f t="shared" si="46"/>
        <v>0</v>
      </c>
      <c r="I1536" s="178">
        <f t="shared" si="47"/>
        <v>0</v>
      </c>
      <c r="J1536" s="109"/>
    </row>
    <row r="1537" spans="1:10" hidden="1">
      <c r="A1537" s="1558"/>
      <c r="B1537" s="425"/>
      <c r="C1537" s="578"/>
      <c r="D1537" s="578"/>
      <c r="E1537" s="580"/>
      <c r="F1537" s="69"/>
      <c r="G1537" s="69"/>
      <c r="H1537" s="178">
        <f t="shared" si="46"/>
        <v>0</v>
      </c>
      <c r="I1537" s="178">
        <f t="shared" si="47"/>
        <v>0</v>
      </c>
      <c r="J1537" s="109"/>
    </row>
    <row r="1538" spans="1:10" hidden="1">
      <c r="A1538" s="1558"/>
      <c r="B1538" s="425"/>
      <c r="C1538" s="578"/>
      <c r="D1538" s="578"/>
      <c r="E1538" s="580"/>
      <c r="F1538" s="69"/>
      <c r="G1538" s="69"/>
      <c r="H1538" s="178">
        <f t="shared" si="46"/>
        <v>0</v>
      </c>
      <c r="I1538" s="178">
        <f t="shared" si="47"/>
        <v>0</v>
      </c>
      <c r="J1538" s="109"/>
    </row>
    <row r="1539" spans="1:10" hidden="1">
      <c r="A1539" s="1558"/>
      <c r="B1539" s="425"/>
      <c r="C1539" s="578"/>
      <c r="D1539" s="578"/>
      <c r="E1539" s="580"/>
      <c r="F1539" s="69"/>
      <c r="G1539" s="69"/>
      <c r="H1539" s="178">
        <f t="shared" si="46"/>
        <v>0</v>
      </c>
      <c r="I1539" s="178">
        <f t="shared" si="47"/>
        <v>0</v>
      </c>
      <c r="J1539" s="109"/>
    </row>
    <row r="1540" spans="1:10" hidden="1">
      <c r="A1540" s="1558"/>
      <c r="B1540" s="425"/>
      <c r="C1540" s="578"/>
      <c r="D1540" s="578"/>
      <c r="E1540" s="580"/>
      <c r="F1540" s="69"/>
      <c r="G1540" s="69"/>
      <c r="H1540" s="178">
        <f t="shared" si="46"/>
        <v>0</v>
      </c>
      <c r="I1540" s="178">
        <f t="shared" si="47"/>
        <v>0</v>
      </c>
      <c r="J1540" s="109"/>
    </row>
    <row r="1541" spans="1:10" hidden="1">
      <c r="A1541" s="1558"/>
      <c r="B1541" s="425"/>
      <c r="C1541" s="578"/>
      <c r="D1541" s="578"/>
      <c r="E1541" s="580"/>
      <c r="F1541" s="69"/>
      <c r="G1541" s="69"/>
      <c r="H1541" s="178">
        <f t="shared" si="46"/>
        <v>0</v>
      </c>
      <c r="I1541" s="178">
        <f t="shared" si="47"/>
        <v>0</v>
      </c>
      <c r="J1541" s="109"/>
    </row>
    <row r="1542" spans="1:10" hidden="1">
      <c r="A1542" s="1558"/>
      <c r="B1542" s="425"/>
      <c r="C1542" s="578"/>
      <c r="D1542" s="578"/>
      <c r="E1542" s="580"/>
      <c r="F1542" s="69"/>
      <c r="G1542" s="69"/>
      <c r="H1542" s="178">
        <f t="shared" si="46"/>
        <v>0</v>
      </c>
      <c r="I1542" s="178">
        <f t="shared" si="47"/>
        <v>0</v>
      </c>
      <c r="J1542" s="109"/>
    </row>
    <row r="1543" spans="1:10" hidden="1">
      <c r="A1543" s="1558"/>
      <c r="B1543" s="425"/>
      <c r="C1543" s="561"/>
      <c r="D1543" s="493"/>
      <c r="E1543" s="493"/>
      <c r="F1543" s="69"/>
      <c r="G1543" s="69"/>
      <c r="H1543" s="178">
        <f t="shared" si="46"/>
        <v>0</v>
      </c>
      <c r="I1543" s="178">
        <f t="shared" si="47"/>
        <v>0</v>
      </c>
      <c r="J1543" s="109"/>
    </row>
    <row r="1544" spans="1:10" hidden="1">
      <c r="A1544" s="1558"/>
      <c r="B1544" s="425"/>
      <c r="C1544" s="578"/>
      <c r="D1544" s="578"/>
      <c r="E1544" s="580"/>
      <c r="F1544" s="69"/>
      <c r="G1544" s="69"/>
      <c r="H1544" s="178">
        <f t="shared" si="46"/>
        <v>0</v>
      </c>
      <c r="I1544" s="178">
        <f t="shared" si="47"/>
        <v>0</v>
      </c>
      <c r="J1544" s="109"/>
    </row>
    <row r="1545" spans="1:10" hidden="1">
      <c r="A1545" s="1558"/>
      <c r="B1545" s="425"/>
      <c r="C1545" s="578"/>
      <c r="D1545" s="578"/>
      <c r="E1545" s="580"/>
      <c r="F1545" s="69"/>
      <c r="G1545" s="69"/>
      <c r="H1545" s="178">
        <f t="shared" ref="H1545:H1608" si="48">E1545+D1545-C1545</f>
        <v>0</v>
      </c>
      <c r="I1545" s="178">
        <f t="shared" ref="I1545:I1608" si="49">SUM(C1545:E1545)</f>
        <v>0</v>
      </c>
      <c r="J1545" s="109"/>
    </row>
    <row r="1546" spans="1:10" hidden="1">
      <c r="A1546" s="1558"/>
      <c r="B1546" s="425"/>
      <c r="C1546" s="578"/>
      <c r="D1546" s="578"/>
      <c r="E1546" s="580"/>
      <c r="F1546" s="69"/>
      <c r="G1546" s="69"/>
      <c r="H1546" s="178">
        <f t="shared" si="48"/>
        <v>0</v>
      </c>
      <c r="I1546" s="178">
        <f t="shared" si="49"/>
        <v>0</v>
      </c>
      <c r="J1546" s="109"/>
    </row>
    <row r="1547" spans="1:10" hidden="1">
      <c r="A1547" s="1558"/>
      <c r="B1547" s="425"/>
      <c r="C1547" s="578"/>
      <c r="D1547" s="578"/>
      <c r="E1547" s="580"/>
      <c r="F1547" s="69"/>
      <c r="G1547" s="69"/>
      <c r="H1547" s="178">
        <f t="shared" si="48"/>
        <v>0</v>
      </c>
      <c r="I1547" s="178">
        <f t="shared" si="49"/>
        <v>0</v>
      </c>
      <c r="J1547" s="109"/>
    </row>
    <row r="1548" spans="1:10" hidden="1">
      <c r="A1548" s="1558"/>
      <c r="B1548" s="425"/>
      <c r="C1548" s="578"/>
      <c r="D1548" s="578"/>
      <c r="E1548" s="580"/>
      <c r="F1548" s="69"/>
      <c r="G1548" s="69"/>
      <c r="H1548" s="178">
        <f t="shared" si="48"/>
        <v>0</v>
      </c>
      <c r="I1548" s="178">
        <f t="shared" si="49"/>
        <v>0</v>
      </c>
      <c r="J1548" s="109"/>
    </row>
    <row r="1549" spans="1:10" hidden="1">
      <c r="A1549" s="1558"/>
      <c r="B1549" s="425"/>
      <c r="C1549" s="578"/>
      <c r="D1549" s="578"/>
      <c r="E1549" s="580"/>
      <c r="F1549" s="69"/>
      <c r="G1549" s="69"/>
      <c r="H1549" s="178">
        <f t="shared" si="48"/>
        <v>0</v>
      </c>
      <c r="I1549" s="178">
        <f t="shared" si="49"/>
        <v>0</v>
      </c>
      <c r="J1549" s="109"/>
    </row>
    <row r="1550" spans="1:10" hidden="1">
      <c r="A1550" s="1558"/>
      <c r="B1550" s="425"/>
      <c r="C1550" s="578"/>
      <c r="D1550" s="578"/>
      <c r="E1550" s="580"/>
      <c r="F1550" s="69"/>
      <c r="G1550" s="69"/>
      <c r="H1550" s="178">
        <f t="shared" si="48"/>
        <v>0</v>
      </c>
      <c r="I1550" s="178">
        <f t="shared" si="49"/>
        <v>0</v>
      </c>
      <c r="J1550" s="109"/>
    </row>
    <row r="1551" spans="1:10" hidden="1">
      <c r="A1551" s="1558"/>
      <c r="B1551" s="425"/>
      <c r="C1551" s="578"/>
      <c r="D1551" s="578"/>
      <c r="E1551" s="580"/>
      <c r="F1551" s="69"/>
      <c r="G1551" s="69"/>
      <c r="H1551" s="178">
        <f t="shared" si="48"/>
        <v>0</v>
      </c>
      <c r="I1551" s="178">
        <f t="shared" si="49"/>
        <v>0</v>
      </c>
      <c r="J1551" s="109"/>
    </row>
    <row r="1552" spans="1:10" hidden="1">
      <c r="A1552" s="1558"/>
      <c r="B1552" s="425"/>
      <c r="C1552" s="578"/>
      <c r="D1552" s="578"/>
      <c r="E1552" s="580"/>
      <c r="F1552" s="69"/>
      <c r="G1552" s="69"/>
      <c r="H1552" s="178">
        <f t="shared" si="48"/>
        <v>0</v>
      </c>
      <c r="I1552" s="178">
        <f t="shared" si="49"/>
        <v>0</v>
      </c>
      <c r="J1552" s="109"/>
    </row>
    <row r="1553" spans="1:10" hidden="1">
      <c r="A1553" s="1558"/>
      <c r="B1553" s="425"/>
      <c r="C1553" s="578"/>
      <c r="D1553" s="578"/>
      <c r="E1553" s="580"/>
      <c r="F1553" s="69"/>
      <c r="G1553" s="69"/>
      <c r="H1553" s="178">
        <f t="shared" si="48"/>
        <v>0</v>
      </c>
      <c r="I1553" s="178">
        <f t="shared" si="49"/>
        <v>0</v>
      </c>
      <c r="J1553" s="109"/>
    </row>
    <row r="1554" spans="1:10" hidden="1">
      <c r="A1554" s="1558"/>
      <c r="B1554" s="425"/>
      <c r="C1554" s="578"/>
      <c r="D1554" s="578"/>
      <c r="E1554" s="580"/>
      <c r="F1554" s="69"/>
      <c r="G1554" s="69"/>
      <c r="H1554" s="178">
        <f t="shared" si="48"/>
        <v>0</v>
      </c>
      <c r="I1554" s="178">
        <f t="shared" si="49"/>
        <v>0</v>
      </c>
      <c r="J1554" s="109"/>
    </row>
    <row r="1555" spans="1:10" hidden="1">
      <c r="A1555" s="1558"/>
      <c r="B1555" s="425"/>
      <c r="C1555" s="578"/>
      <c r="D1555" s="578"/>
      <c r="E1555" s="580"/>
      <c r="F1555" s="69"/>
      <c r="G1555" s="69"/>
      <c r="H1555" s="178">
        <f t="shared" si="48"/>
        <v>0</v>
      </c>
      <c r="I1555" s="178">
        <f t="shared" si="49"/>
        <v>0</v>
      </c>
      <c r="J1555" s="109"/>
    </row>
    <row r="1556" spans="1:10" hidden="1">
      <c r="A1556" s="1558"/>
      <c r="B1556" s="425"/>
      <c r="C1556" s="561"/>
      <c r="D1556" s="577"/>
      <c r="E1556" s="577"/>
      <c r="F1556" s="69"/>
      <c r="G1556" s="69"/>
      <c r="H1556" s="178">
        <f t="shared" si="48"/>
        <v>0</v>
      </c>
      <c r="I1556" s="178">
        <f t="shared" si="49"/>
        <v>0</v>
      </c>
      <c r="J1556" s="109"/>
    </row>
    <row r="1557" spans="1:10" hidden="1">
      <c r="A1557" s="1558"/>
      <c r="B1557" s="209" t="s">
        <v>985</v>
      </c>
      <c r="C1557" s="581">
        <f>SUM(C1510:C1556)</f>
        <v>0</v>
      </c>
      <c r="D1557" s="581">
        <f>SUM(D1510:D1556)</f>
        <v>0</v>
      </c>
      <c r="E1557" s="581">
        <f>SUM(E1510:E1556)</f>
        <v>0</v>
      </c>
      <c r="F1557" s="115">
        <f>SUM(F1510:F1556)</f>
        <v>0</v>
      </c>
      <c r="G1557" s="115">
        <f>SUM(G1510:G1556)</f>
        <v>0</v>
      </c>
      <c r="H1557" s="178">
        <f t="shared" si="48"/>
        <v>0</v>
      </c>
      <c r="I1557" s="178">
        <f t="shared" si="49"/>
        <v>0</v>
      </c>
      <c r="J1557" s="109"/>
    </row>
    <row r="1558" spans="1:10" ht="18" hidden="1" customHeight="1">
      <c r="A1558" s="1553" t="s">
        <v>269</v>
      </c>
      <c r="B1558" s="530"/>
      <c r="C1558" s="592"/>
      <c r="D1558" s="592"/>
      <c r="E1558" s="592"/>
      <c r="F1558" s="180"/>
      <c r="G1558" s="180"/>
      <c r="H1558" s="178">
        <f t="shared" si="48"/>
        <v>0</v>
      </c>
      <c r="I1558" s="178">
        <f t="shared" si="49"/>
        <v>0</v>
      </c>
      <c r="J1558" s="109"/>
    </row>
    <row r="1559" spans="1:10" hidden="1">
      <c r="A1559" s="1554"/>
      <c r="B1559" s="530"/>
      <c r="C1559" s="573"/>
      <c r="D1559" s="574"/>
      <c r="E1559" s="574"/>
      <c r="F1559" s="69"/>
      <c r="G1559" s="69"/>
      <c r="H1559" s="178">
        <f t="shared" si="48"/>
        <v>0</v>
      </c>
      <c r="I1559" s="178">
        <f t="shared" si="49"/>
        <v>0</v>
      </c>
      <c r="J1559" s="109"/>
    </row>
    <row r="1560" spans="1:10" hidden="1">
      <c r="A1560" s="1554"/>
      <c r="B1560" s="530"/>
      <c r="C1560" s="574"/>
      <c r="D1560" s="574"/>
      <c r="E1560" s="574"/>
      <c r="F1560" s="69"/>
      <c r="G1560" s="69"/>
      <c r="H1560" s="178">
        <f t="shared" si="48"/>
        <v>0</v>
      </c>
      <c r="I1560" s="178">
        <f t="shared" si="49"/>
        <v>0</v>
      </c>
      <c r="J1560" s="109"/>
    </row>
    <row r="1561" spans="1:10" hidden="1">
      <c r="A1561" s="1554"/>
      <c r="B1561" s="425"/>
      <c r="C1561" s="493"/>
      <c r="D1561" s="493"/>
      <c r="E1561" s="493"/>
      <c r="F1561" s="69"/>
      <c r="G1561" s="69"/>
      <c r="H1561" s="178">
        <f t="shared" si="48"/>
        <v>0</v>
      </c>
      <c r="I1561" s="178">
        <f t="shared" si="49"/>
        <v>0</v>
      </c>
      <c r="J1561" s="109"/>
    </row>
    <row r="1562" spans="1:10" hidden="1">
      <c r="A1562" s="1554"/>
      <c r="B1562" s="425"/>
      <c r="C1562" s="493"/>
      <c r="D1562" s="493"/>
      <c r="E1562" s="493"/>
      <c r="F1562" s="69"/>
      <c r="G1562" s="69"/>
      <c r="H1562" s="178">
        <f t="shared" si="48"/>
        <v>0</v>
      </c>
      <c r="I1562" s="178">
        <f t="shared" si="49"/>
        <v>0</v>
      </c>
      <c r="J1562" s="109"/>
    </row>
    <row r="1563" spans="1:10" hidden="1">
      <c r="A1563" s="1554"/>
      <c r="B1563" s="425"/>
      <c r="C1563" s="561"/>
      <c r="D1563" s="561"/>
      <c r="E1563" s="493"/>
      <c r="F1563" s="69"/>
      <c r="G1563" s="69"/>
      <c r="H1563" s="178">
        <f t="shared" si="48"/>
        <v>0</v>
      </c>
      <c r="I1563" s="178">
        <f t="shared" si="49"/>
        <v>0</v>
      </c>
      <c r="J1563" s="109"/>
    </row>
    <row r="1564" spans="1:10" hidden="1">
      <c r="A1564" s="1554"/>
      <c r="B1564" s="425"/>
      <c r="C1564" s="561"/>
      <c r="D1564" s="561"/>
      <c r="E1564" s="493"/>
      <c r="F1564" s="69"/>
      <c r="G1564" s="69"/>
      <c r="H1564" s="178">
        <f t="shared" si="48"/>
        <v>0</v>
      </c>
      <c r="I1564" s="178">
        <f t="shared" si="49"/>
        <v>0</v>
      </c>
      <c r="J1564" s="109"/>
    </row>
    <row r="1565" spans="1:10" hidden="1">
      <c r="A1565" s="1554"/>
      <c r="B1565" s="425"/>
      <c r="C1565" s="561"/>
      <c r="D1565" s="561"/>
      <c r="E1565" s="493"/>
      <c r="F1565" s="69"/>
      <c r="G1565" s="69"/>
      <c r="H1565" s="178">
        <f t="shared" si="48"/>
        <v>0</v>
      </c>
      <c r="I1565" s="178">
        <f t="shared" si="49"/>
        <v>0</v>
      </c>
      <c r="J1565" s="109"/>
    </row>
    <row r="1566" spans="1:10" hidden="1">
      <c r="A1566" s="1554"/>
      <c r="B1566" s="425"/>
      <c r="C1566" s="493"/>
      <c r="D1566" s="493"/>
      <c r="E1566" s="493"/>
      <c r="F1566" s="69"/>
      <c r="G1566" s="69"/>
      <c r="H1566" s="178">
        <f t="shared" si="48"/>
        <v>0</v>
      </c>
      <c r="I1566" s="178">
        <f t="shared" si="49"/>
        <v>0</v>
      </c>
      <c r="J1566" s="109"/>
    </row>
    <row r="1567" spans="1:10" hidden="1">
      <c r="A1567" s="1554"/>
      <c r="B1567" s="425"/>
      <c r="C1567" s="561"/>
      <c r="D1567" s="561"/>
      <c r="E1567" s="493"/>
      <c r="F1567" s="69"/>
      <c r="G1567" s="69"/>
      <c r="H1567" s="178">
        <f t="shared" si="48"/>
        <v>0</v>
      </c>
      <c r="I1567" s="178">
        <f t="shared" si="49"/>
        <v>0</v>
      </c>
      <c r="J1567" s="109"/>
    </row>
    <row r="1568" spans="1:10" hidden="1">
      <c r="A1568" s="1554"/>
      <c r="B1568" s="425"/>
      <c r="C1568" s="561"/>
      <c r="D1568" s="561"/>
      <c r="E1568" s="493"/>
      <c r="F1568" s="69"/>
      <c r="G1568" s="69"/>
      <c r="H1568" s="178">
        <f t="shared" si="48"/>
        <v>0</v>
      </c>
      <c r="I1568" s="178">
        <f t="shared" si="49"/>
        <v>0</v>
      </c>
      <c r="J1568" s="109"/>
    </row>
    <row r="1569" spans="1:10" hidden="1">
      <c r="A1569" s="1554"/>
      <c r="B1569" s="425"/>
      <c r="C1569" s="561"/>
      <c r="D1569" s="561"/>
      <c r="E1569" s="493"/>
      <c r="F1569" s="69"/>
      <c r="G1569" s="69"/>
      <c r="H1569" s="178">
        <f t="shared" si="48"/>
        <v>0</v>
      </c>
      <c r="I1569" s="178">
        <f t="shared" si="49"/>
        <v>0</v>
      </c>
      <c r="J1569" s="109"/>
    </row>
    <row r="1570" spans="1:10" hidden="1">
      <c r="A1570" s="1554"/>
      <c r="B1570" s="425"/>
      <c r="C1570" s="561"/>
      <c r="D1570" s="561"/>
      <c r="E1570" s="493"/>
      <c r="F1570" s="69"/>
      <c r="G1570" s="69"/>
      <c r="H1570" s="178">
        <f t="shared" si="48"/>
        <v>0</v>
      </c>
      <c r="I1570" s="178">
        <f t="shared" si="49"/>
        <v>0</v>
      </c>
      <c r="J1570" s="109"/>
    </row>
    <row r="1571" spans="1:10" hidden="1">
      <c r="A1571" s="1554"/>
      <c r="B1571" s="425"/>
      <c r="C1571" s="561"/>
      <c r="D1571" s="493"/>
      <c r="E1571" s="493"/>
      <c r="F1571" s="69"/>
      <c r="G1571" s="69"/>
      <c r="H1571" s="178">
        <f t="shared" si="48"/>
        <v>0</v>
      </c>
      <c r="I1571" s="178">
        <f t="shared" si="49"/>
        <v>0</v>
      </c>
      <c r="J1571" s="109"/>
    </row>
    <row r="1572" spans="1:10" hidden="1">
      <c r="A1572" s="1554"/>
      <c r="B1572" s="425"/>
      <c r="C1572" s="561"/>
      <c r="D1572" s="561"/>
      <c r="E1572" s="577"/>
      <c r="F1572" s="69"/>
      <c r="G1572" s="69"/>
      <c r="H1572" s="178">
        <f t="shared" si="48"/>
        <v>0</v>
      </c>
      <c r="I1572" s="178">
        <f t="shared" si="49"/>
        <v>0</v>
      </c>
      <c r="J1572" s="109"/>
    </row>
    <row r="1573" spans="1:10" hidden="1">
      <c r="A1573" s="1554"/>
      <c r="B1573" s="427"/>
      <c r="C1573" s="579"/>
      <c r="D1573" s="579"/>
      <c r="E1573" s="579"/>
      <c r="F1573" s="69"/>
      <c r="G1573" s="69"/>
      <c r="H1573" s="178">
        <f t="shared" si="48"/>
        <v>0</v>
      </c>
      <c r="I1573" s="178">
        <f t="shared" si="49"/>
        <v>0</v>
      </c>
      <c r="J1573" s="109"/>
    </row>
    <row r="1574" spans="1:10" hidden="1">
      <c r="A1574" s="1554"/>
      <c r="B1574" s="427"/>
      <c r="C1574" s="579"/>
      <c r="D1574" s="579"/>
      <c r="E1574" s="579"/>
      <c r="F1574" s="69"/>
      <c r="G1574" s="69"/>
      <c r="H1574" s="178">
        <f t="shared" si="48"/>
        <v>0</v>
      </c>
      <c r="I1574" s="178">
        <f t="shared" si="49"/>
        <v>0</v>
      </c>
      <c r="J1574" s="109"/>
    </row>
    <row r="1575" spans="1:10" hidden="1">
      <c r="A1575" s="1554"/>
      <c r="B1575" s="427"/>
      <c r="C1575" s="579"/>
      <c r="D1575" s="579"/>
      <c r="E1575" s="579"/>
      <c r="F1575" s="69"/>
      <c r="G1575" s="69"/>
      <c r="H1575" s="178">
        <f t="shared" si="48"/>
        <v>0</v>
      </c>
      <c r="I1575" s="178">
        <f t="shared" si="49"/>
        <v>0</v>
      </c>
      <c r="J1575" s="109"/>
    </row>
    <row r="1576" spans="1:10" hidden="1">
      <c r="A1576" s="1554"/>
      <c r="B1576" s="427"/>
      <c r="C1576" s="579"/>
      <c r="D1576" s="579"/>
      <c r="E1576" s="579"/>
      <c r="F1576" s="69"/>
      <c r="G1576" s="69"/>
      <c r="H1576" s="178">
        <f t="shared" si="48"/>
        <v>0</v>
      </c>
      <c r="I1576" s="178">
        <f t="shared" si="49"/>
        <v>0</v>
      </c>
      <c r="J1576" s="109"/>
    </row>
    <row r="1577" spans="1:10" hidden="1">
      <c r="A1577" s="1554"/>
      <c r="B1577" s="427"/>
      <c r="C1577" s="579"/>
      <c r="D1577" s="579"/>
      <c r="E1577" s="579"/>
      <c r="F1577" s="69"/>
      <c r="G1577" s="69"/>
      <c r="H1577" s="178">
        <f t="shared" si="48"/>
        <v>0</v>
      </c>
      <c r="I1577" s="178">
        <f t="shared" si="49"/>
        <v>0</v>
      </c>
      <c r="J1577" s="109"/>
    </row>
    <row r="1578" spans="1:10" hidden="1">
      <c r="A1578" s="1554"/>
      <c r="B1578" s="427"/>
      <c r="C1578" s="579"/>
      <c r="D1578" s="579"/>
      <c r="E1578" s="579"/>
      <c r="F1578" s="69"/>
      <c r="G1578" s="69"/>
      <c r="H1578" s="178">
        <f t="shared" si="48"/>
        <v>0</v>
      </c>
      <c r="I1578" s="178">
        <f t="shared" si="49"/>
        <v>0</v>
      </c>
      <c r="J1578" s="109"/>
    </row>
    <row r="1579" spans="1:10" hidden="1">
      <c r="A1579" s="1554"/>
      <c r="B1579" s="427"/>
      <c r="C1579" s="578"/>
      <c r="D1579" s="578"/>
      <c r="E1579" s="579"/>
      <c r="F1579" s="69"/>
      <c r="G1579" s="69"/>
      <c r="H1579" s="178">
        <f t="shared" si="48"/>
        <v>0</v>
      </c>
      <c r="I1579" s="178">
        <f t="shared" si="49"/>
        <v>0</v>
      </c>
      <c r="J1579" s="109"/>
    </row>
    <row r="1580" spans="1:10" hidden="1">
      <c r="A1580" s="1554"/>
      <c r="B1580" s="427"/>
      <c r="C1580" s="578"/>
      <c r="D1580" s="578"/>
      <c r="E1580" s="579"/>
      <c r="F1580" s="69"/>
      <c r="G1580" s="69"/>
      <c r="H1580" s="178">
        <f t="shared" si="48"/>
        <v>0</v>
      </c>
      <c r="I1580" s="178">
        <f t="shared" si="49"/>
        <v>0</v>
      </c>
      <c r="J1580" s="109"/>
    </row>
    <row r="1581" spans="1:10" hidden="1">
      <c r="A1581" s="1554"/>
      <c r="B1581" s="427"/>
      <c r="C1581" s="578"/>
      <c r="D1581" s="578"/>
      <c r="E1581" s="579"/>
      <c r="F1581" s="69"/>
      <c r="G1581" s="69"/>
      <c r="H1581" s="178">
        <f t="shared" si="48"/>
        <v>0</v>
      </c>
      <c r="I1581" s="178">
        <f t="shared" si="49"/>
        <v>0</v>
      </c>
      <c r="J1581" s="109"/>
    </row>
    <row r="1582" spans="1:10" hidden="1">
      <c r="A1582" s="1554"/>
      <c r="B1582" s="425"/>
      <c r="C1582" s="578"/>
      <c r="D1582" s="578"/>
      <c r="E1582" s="580"/>
      <c r="F1582" s="69"/>
      <c r="G1582" s="69"/>
      <c r="H1582" s="178">
        <f t="shared" si="48"/>
        <v>0</v>
      </c>
      <c r="I1582" s="178">
        <f t="shared" si="49"/>
        <v>0</v>
      </c>
      <c r="J1582" s="109"/>
    </row>
    <row r="1583" spans="1:10" hidden="1">
      <c r="A1583" s="1554"/>
      <c r="B1583" s="425"/>
      <c r="C1583" s="578"/>
      <c r="D1583" s="578"/>
      <c r="E1583" s="580"/>
      <c r="F1583" s="69"/>
      <c r="G1583" s="69"/>
      <c r="H1583" s="178">
        <f t="shared" si="48"/>
        <v>0</v>
      </c>
      <c r="I1583" s="178">
        <f t="shared" si="49"/>
        <v>0</v>
      </c>
      <c r="J1583" s="109"/>
    </row>
    <row r="1584" spans="1:10" hidden="1">
      <c r="A1584" s="1554"/>
      <c r="B1584" s="425"/>
      <c r="C1584" s="578"/>
      <c r="D1584" s="578"/>
      <c r="E1584" s="580"/>
      <c r="F1584" s="69"/>
      <c r="G1584" s="69"/>
      <c r="H1584" s="178">
        <f t="shared" si="48"/>
        <v>0</v>
      </c>
      <c r="I1584" s="178">
        <f t="shared" si="49"/>
        <v>0</v>
      </c>
      <c r="J1584" s="109"/>
    </row>
    <row r="1585" spans="1:10" hidden="1">
      <c r="A1585" s="1554"/>
      <c r="B1585" s="425"/>
      <c r="C1585" s="578"/>
      <c r="D1585" s="578"/>
      <c r="E1585" s="580"/>
      <c r="F1585" s="69"/>
      <c r="G1585" s="69"/>
      <c r="H1585" s="178">
        <f t="shared" si="48"/>
        <v>0</v>
      </c>
      <c r="I1585" s="178">
        <f t="shared" si="49"/>
        <v>0</v>
      </c>
      <c r="J1585" s="109"/>
    </row>
    <row r="1586" spans="1:10" hidden="1">
      <c r="A1586" s="1554"/>
      <c r="B1586" s="425"/>
      <c r="C1586" s="578"/>
      <c r="D1586" s="578"/>
      <c r="E1586" s="580"/>
      <c r="F1586" s="69"/>
      <c r="G1586" s="69"/>
      <c r="H1586" s="178">
        <f t="shared" si="48"/>
        <v>0</v>
      </c>
      <c r="I1586" s="178">
        <f t="shared" si="49"/>
        <v>0</v>
      </c>
      <c r="J1586" s="109"/>
    </row>
    <row r="1587" spans="1:10" hidden="1">
      <c r="A1587" s="1554"/>
      <c r="B1587" s="425"/>
      <c r="C1587" s="578"/>
      <c r="D1587" s="578"/>
      <c r="E1587" s="580"/>
      <c r="F1587" s="69"/>
      <c r="G1587" s="69"/>
      <c r="H1587" s="178">
        <f t="shared" si="48"/>
        <v>0</v>
      </c>
      <c r="I1587" s="178">
        <f t="shared" si="49"/>
        <v>0</v>
      </c>
      <c r="J1587" s="109"/>
    </row>
    <row r="1588" spans="1:10" hidden="1">
      <c r="A1588" s="1554"/>
      <c r="B1588" s="425"/>
      <c r="C1588" s="578"/>
      <c r="D1588" s="578"/>
      <c r="E1588" s="580"/>
      <c r="F1588" s="69"/>
      <c r="G1588" s="69"/>
      <c r="H1588" s="178">
        <f t="shared" si="48"/>
        <v>0</v>
      </c>
      <c r="I1588" s="178">
        <f t="shared" si="49"/>
        <v>0</v>
      </c>
      <c r="J1588" s="109"/>
    </row>
    <row r="1589" spans="1:10" hidden="1">
      <c r="A1589" s="1554"/>
      <c r="B1589" s="425"/>
      <c r="C1589" s="578"/>
      <c r="D1589" s="578"/>
      <c r="E1589" s="580"/>
      <c r="F1589" s="69"/>
      <c r="G1589" s="69"/>
      <c r="H1589" s="178">
        <f t="shared" si="48"/>
        <v>0</v>
      </c>
      <c r="I1589" s="178">
        <f t="shared" si="49"/>
        <v>0</v>
      </c>
      <c r="J1589" s="109"/>
    </row>
    <row r="1590" spans="1:10" hidden="1">
      <c r="A1590" s="1554"/>
      <c r="B1590" s="425"/>
      <c r="C1590" s="578"/>
      <c r="D1590" s="578"/>
      <c r="E1590" s="580"/>
      <c r="F1590" s="69"/>
      <c r="G1590" s="69"/>
      <c r="H1590" s="178">
        <f t="shared" si="48"/>
        <v>0</v>
      </c>
      <c r="I1590" s="178">
        <f t="shared" si="49"/>
        <v>0</v>
      </c>
      <c r="J1590" s="109"/>
    </row>
    <row r="1591" spans="1:10" hidden="1">
      <c r="A1591" s="1554"/>
      <c r="B1591" s="425"/>
      <c r="C1591" s="561"/>
      <c r="D1591" s="493"/>
      <c r="E1591" s="493"/>
      <c r="F1591" s="69"/>
      <c r="G1591" s="69"/>
      <c r="H1591" s="178">
        <f t="shared" si="48"/>
        <v>0</v>
      </c>
      <c r="I1591" s="178">
        <f t="shared" si="49"/>
        <v>0</v>
      </c>
      <c r="J1591" s="109"/>
    </row>
    <row r="1592" spans="1:10" hidden="1">
      <c r="A1592" s="1554"/>
      <c r="B1592" s="425"/>
      <c r="C1592" s="578"/>
      <c r="D1592" s="578"/>
      <c r="E1592" s="580"/>
      <c r="F1592" s="69"/>
      <c r="G1592" s="69"/>
      <c r="H1592" s="178">
        <f t="shared" si="48"/>
        <v>0</v>
      </c>
      <c r="I1592" s="178">
        <f t="shared" si="49"/>
        <v>0</v>
      </c>
      <c r="J1592" s="109"/>
    </row>
    <row r="1593" spans="1:10" hidden="1">
      <c r="A1593" s="1554"/>
      <c r="B1593" s="425"/>
      <c r="C1593" s="578"/>
      <c r="D1593" s="578"/>
      <c r="E1593" s="580"/>
      <c r="F1593" s="69"/>
      <c r="G1593" s="69"/>
      <c r="H1593" s="178">
        <f t="shared" si="48"/>
        <v>0</v>
      </c>
      <c r="I1593" s="178">
        <f t="shared" si="49"/>
        <v>0</v>
      </c>
      <c r="J1593" s="109"/>
    </row>
    <row r="1594" spans="1:10" hidden="1">
      <c r="A1594" s="1554"/>
      <c r="B1594" s="425"/>
      <c r="C1594" s="578"/>
      <c r="D1594" s="578"/>
      <c r="E1594" s="580"/>
      <c r="F1594" s="69"/>
      <c r="G1594" s="69"/>
      <c r="H1594" s="178">
        <f t="shared" si="48"/>
        <v>0</v>
      </c>
      <c r="I1594" s="178">
        <f t="shared" si="49"/>
        <v>0</v>
      </c>
      <c r="J1594" s="109"/>
    </row>
    <row r="1595" spans="1:10" hidden="1">
      <c r="A1595" s="1554"/>
      <c r="B1595" s="425"/>
      <c r="C1595" s="578"/>
      <c r="D1595" s="578"/>
      <c r="E1595" s="580"/>
      <c r="F1595" s="69"/>
      <c r="G1595" s="69"/>
      <c r="H1595" s="178">
        <f t="shared" si="48"/>
        <v>0</v>
      </c>
      <c r="I1595" s="178">
        <f t="shared" si="49"/>
        <v>0</v>
      </c>
      <c r="J1595" s="109"/>
    </row>
    <row r="1596" spans="1:10" hidden="1">
      <c r="A1596" s="1554"/>
      <c r="B1596" s="425"/>
      <c r="C1596" s="578"/>
      <c r="D1596" s="578"/>
      <c r="E1596" s="580"/>
      <c r="F1596" s="69"/>
      <c r="G1596" s="69"/>
      <c r="H1596" s="178">
        <f t="shared" si="48"/>
        <v>0</v>
      </c>
      <c r="I1596" s="178">
        <f t="shared" si="49"/>
        <v>0</v>
      </c>
      <c r="J1596" s="109"/>
    </row>
    <row r="1597" spans="1:10" hidden="1">
      <c r="A1597" s="1554"/>
      <c r="B1597" s="425"/>
      <c r="C1597" s="578"/>
      <c r="D1597" s="578"/>
      <c r="E1597" s="580"/>
      <c r="F1597" s="69"/>
      <c r="G1597" s="69"/>
      <c r="H1597" s="178">
        <f t="shared" si="48"/>
        <v>0</v>
      </c>
      <c r="I1597" s="178">
        <f t="shared" si="49"/>
        <v>0</v>
      </c>
      <c r="J1597" s="109"/>
    </row>
    <row r="1598" spans="1:10" hidden="1">
      <c r="A1598" s="1554"/>
      <c r="B1598" s="425"/>
      <c r="C1598" s="578"/>
      <c r="D1598" s="578"/>
      <c r="E1598" s="580"/>
      <c r="F1598" s="69"/>
      <c r="G1598" s="69"/>
      <c r="H1598" s="178">
        <f t="shared" si="48"/>
        <v>0</v>
      </c>
      <c r="I1598" s="178">
        <f t="shared" si="49"/>
        <v>0</v>
      </c>
      <c r="J1598" s="109"/>
    </row>
    <row r="1599" spans="1:10" hidden="1">
      <c r="A1599" s="1554"/>
      <c r="B1599" s="425"/>
      <c r="C1599" s="578"/>
      <c r="D1599" s="578"/>
      <c r="E1599" s="580"/>
      <c r="F1599" s="69"/>
      <c r="G1599" s="69"/>
      <c r="H1599" s="178">
        <f t="shared" si="48"/>
        <v>0</v>
      </c>
      <c r="I1599" s="178">
        <f t="shared" si="49"/>
        <v>0</v>
      </c>
      <c r="J1599" s="109"/>
    </row>
    <row r="1600" spans="1:10" hidden="1">
      <c r="A1600" s="1554"/>
      <c r="B1600" s="425"/>
      <c r="C1600" s="578"/>
      <c r="D1600" s="578"/>
      <c r="E1600" s="580"/>
      <c r="F1600" s="69"/>
      <c r="G1600" s="69"/>
      <c r="H1600" s="178">
        <f t="shared" si="48"/>
        <v>0</v>
      </c>
      <c r="I1600" s="178">
        <f t="shared" si="49"/>
        <v>0</v>
      </c>
      <c r="J1600" s="109"/>
    </row>
    <row r="1601" spans="1:11" hidden="1">
      <c r="A1601" s="1554"/>
      <c r="B1601" s="425"/>
      <c r="C1601" s="578"/>
      <c r="D1601" s="578"/>
      <c r="E1601" s="580"/>
      <c r="F1601" s="69"/>
      <c r="G1601" s="69"/>
      <c r="H1601" s="178">
        <f t="shared" si="48"/>
        <v>0</v>
      </c>
      <c r="I1601" s="178">
        <f t="shared" si="49"/>
        <v>0</v>
      </c>
      <c r="J1601" s="109"/>
    </row>
    <row r="1602" spans="1:11" hidden="1">
      <c r="A1602" s="1554"/>
      <c r="B1602" s="425"/>
      <c r="C1602" s="578"/>
      <c r="D1602" s="578"/>
      <c r="E1602" s="580"/>
      <c r="F1602" s="69"/>
      <c r="G1602" s="69"/>
      <c r="H1602" s="178">
        <f t="shared" si="48"/>
        <v>0</v>
      </c>
      <c r="I1602" s="178">
        <f t="shared" si="49"/>
        <v>0</v>
      </c>
      <c r="J1602" s="109"/>
    </row>
    <row r="1603" spans="1:11" hidden="1">
      <c r="A1603" s="1554"/>
      <c r="B1603" s="425"/>
      <c r="C1603" s="578"/>
      <c r="D1603" s="578"/>
      <c r="E1603" s="580"/>
      <c r="F1603" s="69"/>
      <c r="G1603" s="69"/>
      <c r="H1603" s="178">
        <f t="shared" si="48"/>
        <v>0</v>
      </c>
      <c r="I1603" s="178">
        <f t="shared" si="49"/>
        <v>0</v>
      </c>
      <c r="J1603" s="109"/>
    </row>
    <row r="1604" spans="1:11" hidden="1">
      <c r="A1604" s="1554"/>
      <c r="B1604" s="425"/>
      <c r="C1604" s="561"/>
      <c r="D1604" s="577"/>
      <c r="E1604" s="577"/>
      <c r="F1604" s="69"/>
      <c r="G1604" s="69"/>
      <c r="H1604" s="178">
        <f t="shared" si="48"/>
        <v>0</v>
      </c>
      <c r="I1604" s="178">
        <f t="shared" si="49"/>
        <v>0</v>
      </c>
      <c r="J1604" s="109"/>
    </row>
    <row r="1605" spans="1:11" hidden="1">
      <c r="A1605" s="1555"/>
      <c r="B1605" s="209" t="s">
        <v>985</v>
      </c>
      <c r="C1605" s="588">
        <f>SUM(C1558:C1604)</f>
        <v>0</v>
      </c>
      <c r="D1605" s="588">
        <f>SUM(D1558:D1604)</f>
        <v>0</v>
      </c>
      <c r="E1605" s="588">
        <f>SUM(E1558:E1604)</f>
        <v>0</v>
      </c>
      <c r="F1605" s="115">
        <f>SUM(F1558:F1604)</f>
        <v>0</v>
      </c>
      <c r="G1605" s="115">
        <f>SUM(G1558:G1604)</f>
        <v>0</v>
      </c>
      <c r="H1605" s="178">
        <f t="shared" si="48"/>
        <v>0</v>
      </c>
      <c r="I1605" s="178">
        <f t="shared" si="49"/>
        <v>0</v>
      </c>
      <c r="J1605" s="109"/>
    </row>
    <row r="1606" spans="1:11" s="109" customFormat="1" ht="75">
      <c r="A1606" s="1558" t="s">
        <v>1092</v>
      </c>
      <c r="B1606" s="1378" t="s">
        <v>2035</v>
      </c>
      <c r="C1606" s="1379">
        <v>14000</v>
      </c>
      <c r="D1606" s="1379"/>
      <c r="E1606" s="1380">
        <v>14000</v>
      </c>
      <c r="F1606" s="1381"/>
      <c r="G1606" s="1381"/>
      <c r="H1606" s="1436">
        <f t="shared" si="48"/>
        <v>0</v>
      </c>
      <c r="I1606" s="1436">
        <f t="shared" si="49"/>
        <v>28000</v>
      </c>
      <c r="J1606" s="1439"/>
      <c r="K1606" s="1439"/>
    </row>
    <row r="1607" spans="1:11" hidden="1">
      <c r="A1607" s="1558"/>
      <c r="B1607" s="425"/>
      <c r="C1607" s="561"/>
      <c r="D1607" s="493"/>
      <c r="E1607" s="493"/>
      <c r="F1607" s="69"/>
      <c r="G1607" s="69"/>
      <c r="H1607" s="178">
        <f t="shared" si="48"/>
        <v>0</v>
      </c>
      <c r="I1607" s="178">
        <f t="shared" si="49"/>
        <v>0</v>
      </c>
      <c r="J1607" s="109"/>
    </row>
    <row r="1608" spans="1:11" hidden="1">
      <c r="A1608" s="1558"/>
      <c r="B1608" s="425"/>
      <c r="C1608" s="493"/>
      <c r="D1608" s="493"/>
      <c r="E1608" s="493"/>
      <c r="F1608" s="69"/>
      <c r="G1608" s="69"/>
      <c r="H1608" s="178">
        <f t="shared" si="48"/>
        <v>0</v>
      </c>
      <c r="I1608" s="178">
        <f t="shared" si="49"/>
        <v>0</v>
      </c>
      <c r="J1608" s="109"/>
    </row>
    <row r="1609" spans="1:11" hidden="1">
      <c r="A1609" s="1558"/>
      <c r="B1609" s="425"/>
      <c r="C1609" s="493"/>
      <c r="D1609" s="493"/>
      <c r="E1609" s="493"/>
      <c r="F1609" s="69"/>
      <c r="G1609" s="69"/>
      <c r="H1609" s="178">
        <f t="shared" ref="H1609:H1672" si="50">E1609+D1609-C1609</f>
        <v>0</v>
      </c>
      <c r="I1609" s="178">
        <f t="shared" ref="I1609:I1672" si="51">SUM(C1609:E1609)</f>
        <v>0</v>
      </c>
      <c r="J1609" s="109"/>
    </row>
    <row r="1610" spans="1:11" hidden="1">
      <c r="A1610" s="1558"/>
      <c r="B1610" s="425"/>
      <c r="C1610" s="493"/>
      <c r="D1610" s="493"/>
      <c r="E1610" s="493"/>
      <c r="F1610" s="69"/>
      <c r="G1610" s="69"/>
      <c r="H1610" s="178">
        <f t="shared" si="50"/>
        <v>0</v>
      </c>
      <c r="I1610" s="178">
        <f t="shared" si="51"/>
        <v>0</v>
      </c>
      <c r="J1610" s="109"/>
    </row>
    <row r="1611" spans="1:11" hidden="1">
      <c r="A1611" s="1558"/>
      <c r="B1611" s="425"/>
      <c r="C1611" s="561"/>
      <c r="D1611" s="561"/>
      <c r="E1611" s="493"/>
      <c r="F1611" s="69"/>
      <c r="G1611" s="69"/>
      <c r="H1611" s="178">
        <f t="shared" si="50"/>
        <v>0</v>
      </c>
      <c r="I1611" s="178">
        <f t="shared" si="51"/>
        <v>0</v>
      </c>
      <c r="J1611" s="109"/>
    </row>
    <row r="1612" spans="1:11" hidden="1">
      <c r="A1612" s="1558"/>
      <c r="B1612" s="425"/>
      <c r="C1612" s="561"/>
      <c r="D1612" s="561"/>
      <c r="E1612" s="493"/>
      <c r="F1612" s="69"/>
      <c r="G1612" s="69"/>
      <c r="H1612" s="178">
        <f t="shared" si="50"/>
        <v>0</v>
      </c>
      <c r="I1612" s="178">
        <f t="shared" si="51"/>
        <v>0</v>
      </c>
      <c r="J1612" s="109"/>
    </row>
    <row r="1613" spans="1:11" hidden="1">
      <c r="A1613" s="1558"/>
      <c r="B1613" s="425"/>
      <c r="C1613" s="561"/>
      <c r="D1613" s="561"/>
      <c r="E1613" s="493"/>
      <c r="F1613" s="69"/>
      <c r="G1613" s="69"/>
      <c r="H1613" s="178">
        <f t="shared" si="50"/>
        <v>0</v>
      </c>
      <c r="I1613" s="178">
        <f t="shared" si="51"/>
        <v>0</v>
      </c>
      <c r="J1613" s="109"/>
    </row>
    <row r="1614" spans="1:11" hidden="1">
      <c r="A1614" s="1558"/>
      <c r="B1614" s="425"/>
      <c r="C1614" s="493"/>
      <c r="D1614" s="493"/>
      <c r="E1614" s="493"/>
      <c r="F1614" s="69"/>
      <c r="G1614" s="69"/>
      <c r="H1614" s="178">
        <f t="shared" si="50"/>
        <v>0</v>
      </c>
      <c r="I1614" s="178">
        <f t="shared" si="51"/>
        <v>0</v>
      </c>
      <c r="J1614" s="109"/>
    </row>
    <row r="1615" spans="1:11" hidden="1">
      <c r="A1615" s="1558"/>
      <c r="B1615" s="425"/>
      <c r="C1615" s="561"/>
      <c r="D1615" s="561"/>
      <c r="E1615" s="493"/>
      <c r="F1615" s="69"/>
      <c r="G1615" s="69"/>
      <c r="H1615" s="178">
        <f t="shared" si="50"/>
        <v>0</v>
      </c>
      <c r="I1615" s="178">
        <f t="shared" si="51"/>
        <v>0</v>
      </c>
      <c r="J1615" s="109"/>
    </row>
    <row r="1616" spans="1:11" hidden="1">
      <c r="A1616" s="1558"/>
      <c r="B1616" s="425"/>
      <c r="C1616" s="561"/>
      <c r="D1616" s="561"/>
      <c r="E1616" s="493"/>
      <c r="F1616" s="69"/>
      <c r="G1616" s="69"/>
      <c r="H1616" s="178">
        <f t="shared" si="50"/>
        <v>0</v>
      </c>
      <c r="I1616" s="178">
        <f t="shared" si="51"/>
        <v>0</v>
      </c>
      <c r="J1616" s="109"/>
    </row>
    <row r="1617" spans="1:10" hidden="1">
      <c r="A1617" s="1558"/>
      <c r="B1617" s="425"/>
      <c r="C1617" s="561"/>
      <c r="D1617" s="561"/>
      <c r="E1617" s="493"/>
      <c r="F1617" s="69"/>
      <c r="G1617" s="69"/>
      <c r="H1617" s="178">
        <f t="shared" si="50"/>
        <v>0</v>
      </c>
      <c r="I1617" s="178">
        <f t="shared" si="51"/>
        <v>0</v>
      </c>
      <c r="J1617" s="109"/>
    </row>
    <row r="1618" spans="1:10" hidden="1">
      <c r="A1618" s="1558"/>
      <c r="B1618" s="425"/>
      <c r="C1618" s="561"/>
      <c r="D1618" s="561"/>
      <c r="E1618" s="493"/>
      <c r="F1618" s="69"/>
      <c r="G1618" s="69"/>
      <c r="H1618" s="178">
        <f t="shared" si="50"/>
        <v>0</v>
      </c>
      <c r="I1618" s="178">
        <f t="shared" si="51"/>
        <v>0</v>
      </c>
      <c r="J1618" s="109"/>
    </row>
    <row r="1619" spans="1:10" hidden="1">
      <c r="A1619" s="1558"/>
      <c r="B1619" s="425"/>
      <c r="C1619" s="561"/>
      <c r="D1619" s="493"/>
      <c r="E1619" s="493"/>
      <c r="F1619" s="69"/>
      <c r="G1619" s="69"/>
      <c r="H1619" s="178">
        <f t="shared" si="50"/>
        <v>0</v>
      </c>
      <c r="I1619" s="178">
        <f t="shared" si="51"/>
        <v>0</v>
      </c>
      <c r="J1619" s="109"/>
    </row>
    <row r="1620" spans="1:10" hidden="1">
      <c r="A1620" s="1558"/>
      <c r="B1620" s="425"/>
      <c r="C1620" s="561"/>
      <c r="D1620" s="561"/>
      <c r="E1620" s="577"/>
      <c r="F1620" s="69"/>
      <c r="G1620" s="69"/>
      <c r="H1620" s="178">
        <f t="shared" si="50"/>
        <v>0</v>
      </c>
      <c r="I1620" s="178">
        <f t="shared" si="51"/>
        <v>0</v>
      </c>
      <c r="J1620" s="109"/>
    </row>
    <row r="1621" spans="1:10" hidden="1">
      <c r="A1621" s="1558"/>
      <c r="B1621" s="427"/>
      <c r="C1621" s="579"/>
      <c r="D1621" s="579"/>
      <c r="E1621" s="579"/>
      <c r="F1621" s="69"/>
      <c r="G1621" s="69"/>
      <c r="H1621" s="178">
        <f t="shared" si="50"/>
        <v>0</v>
      </c>
      <c r="I1621" s="178">
        <f t="shared" si="51"/>
        <v>0</v>
      </c>
      <c r="J1621" s="109"/>
    </row>
    <row r="1622" spans="1:10" hidden="1">
      <c r="A1622" s="1558"/>
      <c r="B1622" s="427"/>
      <c r="C1622" s="579"/>
      <c r="D1622" s="579"/>
      <c r="E1622" s="579"/>
      <c r="F1622" s="69"/>
      <c r="G1622" s="69"/>
      <c r="H1622" s="178">
        <f t="shared" si="50"/>
        <v>0</v>
      </c>
      <c r="I1622" s="178">
        <f t="shared" si="51"/>
        <v>0</v>
      </c>
      <c r="J1622" s="109"/>
    </row>
    <row r="1623" spans="1:10" hidden="1">
      <c r="A1623" s="1558"/>
      <c r="B1623" s="427"/>
      <c r="C1623" s="579"/>
      <c r="D1623" s="579"/>
      <c r="E1623" s="579"/>
      <c r="F1623" s="69"/>
      <c r="G1623" s="69"/>
      <c r="H1623" s="178">
        <f t="shared" si="50"/>
        <v>0</v>
      </c>
      <c r="I1623" s="178">
        <f t="shared" si="51"/>
        <v>0</v>
      </c>
      <c r="J1623" s="109"/>
    </row>
    <row r="1624" spans="1:10" hidden="1">
      <c r="A1624" s="1558"/>
      <c r="B1624" s="427"/>
      <c r="C1624" s="579"/>
      <c r="D1624" s="579"/>
      <c r="E1624" s="579"/>
      <c r="F1624" s="69"/>
      <c r="G1624" s="69"/>
      <c r="H1624" s="178">
        <f t="shared" si="50"/>
        <v>0</v>
      </c>
      <c r="I1624" s="178">
        <f t="shared" si="51"/>
        <v>0</v>
      </c>
      <c r="J1624" s="109"/>
    </row>
    <row r="1625" spans="1:10" hidden="1">
      <c r="A1625" s="1558"/>
      <c r="B1625" s="427"/>
      <c r="C1625" s="579"/>
      <c r="D1625" s="579"/>
      <c r="E1625" s="579"/>
      <c r="F1625" s="69"/>
      <c r="G1625" s="69"/>
      <c r="H1625" s="178">
        <f t="shared" si="50"/>
        <v>0</v>
      </c>
      <c r="I1625" s="178">
        <f t="shared" si="51"/>
        <v>0</v>
      </c>
      <c r="J1625" s="109"/>
    </row>
    <row r="1626" spans="1:10" hidden="1">
      <c r="A1626" s="1558"/>
      <c r="B1626" s="427"/>
      <c r="C1626" s="579"/>
      <c r="D1626" s="579"/>
      <c r="E1626" s="579"/>
      <c r="F1626" s="69"/>
      <c r="G1626" s="69"/>
      <c r="H1626" s="178">
        <f t="shared" si="50"/>
        <v>0</v>
      </c>
      <c r="I1626" s="178">
        <f t="shared" si="51"/>
        <v>0</v>
      </c>
      <c r="J1626" s="109"/>
    </row>
    <row r="1627" spans="1:10" hidden="1">
      <c r="A1627" s="1558"/>
      <c r="B1627" s="427"/>
      <c r="C1627" s="578"/>
      <c r="D1627" s="578"/>
      <c r="E1627" s="579"/>
      <c r="F1627" s="69"/>
      <c r="G1627" s="69"/>
      <c r="H1627" s="178">
        <f t="shared" si="50"/>
        <v>0</v>
      </c>
      <c r="I1627" s="178">
        <f t="shared" si="51"/>
        <v>0</v>
      </c>
      <c r="J1627" s="109"/>
    </row>
    <row r="1628" spans="1:10" hidden="1">
      <c r="A1628" s="1558"/>
      <c r="B1628" s="427"/>
      <c r="C1628" s="578"/>
      <c r="D1628" s="578"/>
      <c r="E1628" s="579"/>
      <c r="F1628" s="69"/>
      <c r="G1628" s="69"/>
      <c r="H1628" s="178">
        <f t="shared" si="50"/>
        <v>0</v>
      </c>
      <c r="I1628" s="178">
        <f t="shared" si="51"/>
        <v>0</v>
      </c>
      <c r="J1628" s="109"/>
    </row>
    <row r="1629" spans="1:10" ht="90" hidden="1" customHeight="1">
      <c r="A1629" s="1558"/>
      <c r="B1629" s="427"/>
      <c r="C1629" s="578"/>
      <c r="D1629" s="578"/>
      <c r="E1629" s="579"/>
      <c r="F1629" s="69"/>
      <c r="G1629" s="69"/>
      <c r="H1629" s="178">
        <f t="shared" si="50"/>
        <v>0</v>
      </c>
      <c r="I1629" s="178">
        <f t="shared" si="51"/>
        <v>0</v>
      </c>
      <c r="J1629" s="109"/>
    </row>
    <row r="1630" spans="1:10" hidden="1">
      <c r="A1630" s="1558"/>
      <c r="B1630" s="425"/>
      <c r="C1630" s="578"/>
      <c r="D1630" s="578"/>
      <c r="E1630" s="580"/>
      <c r="F1630" s="69"/>
      <c r="G1630" s="69"/>
      <c r="H1630" s="178">
        <f t="shared" si="50"/>
        <v>0</v>
      </c>
      <c r="I1630" s="178">
        <f t="shared" si="51"/>
        <v>0</v>
      </c>
      <c r="J1630" s="109"/>
    </row>
    <row r="1631" spans="1:10" hidden="1">
      <c r="A1631" s="1558"/>
      <c r="B1631" s="425"/>
      <c r="C1631" s="578"/>
      <c r="D1631" s="578"/>
      <c r="E1631" s="580"/>
      <c r="F1631" s="69"/>
      <c r="G1631" s="69"/>
      <c r="H1631" s="178">
        <f t="shared" si="50"/>
        <v>0</v>
      </c>
      <c r="I1631" s="178">
        <f t="shared" si="51"/>
        <v>0</v>
      </c>
      <c r="J1631" s="109"/>
    </row>
    <row r="1632" spans="1:10" hidden="1">
      <c r="A1632" s="1558"/>
      <c r="B1632" s="425"/>
      <c r="C1632" s="578"/>
      <c r="D1632" s="578"/>
      <c r="E1632" s="580"/>
      <c r="F1632" s="69"/>
      <c r="G1632" s="69"/>
      <c r="H1632" s="178">
        <f t="shared" si="50"/>
        <v>0</v>
      </c>
      <c r="I1632" s="178">
        <f t="shared" si="51"/>
        <v>0</v>
      </c>
      <c r="J1632" s="109"/>
    </row>
    <row r="1633" spans="1:10" hidden="1">
      <c r="A1633" s="1558"/>
      <c r="B1633" s="425"/>
      <c r="C1633" s="578"/>
      <c r="D1633" s="578"/>
      <c r="E1633" s="580"/>
      <c r="F1633" s="69"/>
      <c r="G1633" s="69"/>
      <c r="H1633" s="178">
        <f t="shared" si="50"/>
        <v>0</v>
      </c>
      <c r="I1633" s="178">
        <f t="shared" si="51"/>
        <v>0</v>
      </c>
      <c r="J1633" s="109"/>
    </row>
    <row r="1634" spans="1:10" hidden="1">
      <c r="A1634" s="1558"/>
      <c r="B1634" s="425"/>
      <c r="C1634" s="578"/>
      <c r="D1634" s="578"/>
      <c r="E1634" s="580"/>
      <c r="F1634" s="69"/>
      <c r="G1634" s="69"/>
      <c r="H1634" s="178">
        <f t="shared" si="50"/>
        <v>0</v>
      </c>
      <c r="I1634" s="178">
        <f t="shared" si="51"/>
        <v>0</v>
      </c>
      <c r="J1634" s="109"/>
    </row>
    <row r="1635" spans="1:10" hidden="1">
      <c r="A1635" s="1558"/>
      <c r="B1635" s="425"/>
      <c r="C1635" s="578"/>
      <c r="D1635" s="578"/>
      <c r="E1635" s="580"/>
      <c r="F1635" s="69"/>
      <c r="G1635" s="69"/>
      <c r="H1635" s="178">
        <f t="shared" si="50"/>
        <v>0</v>
      </c>
      <c r="I1635" s="178">
        <f t="shared" si="51"/>
        <v>0</v>
      </c>
      <c r="J1635" s="109"/>
    </row>
    <row r="1636" spans="1:10" hidden="1">
      <c r="A1636" s="1558"/>
      <c r="B1636" s="425"/>
      <c r="C1636" s="578"/>
      <c r="D1636" s="578"/>
      <c r="E1636" s="580"/>
      <c r="F1636" s="69"/>
      <c r="G1636" s="69"/>
      <c r="H1636" s="178">
        <f t="shared" si="50"/>
        <v>0</v>
      </c>
      <c r="I1636" s="178">
        <f t="shared" si="51"/>
        <v>0</v>
      </c>
      <c r="J1636" s="109"/>
    </row>
    <row r="1637" spans="1:10" hidden="1">
      <c r="A1637" s="1558"/>
      <c r="B1637" s="425"/>
      <c r="C1637" s="578"/>
      <c r="D1637" s="578"/>
      <c r="E1637" s="580"/>
      <c r="F1637" s="69"/>
      <c r="G1637" s="69"/>
      <c r="H1637" s="178">
        <f t="shared" si="50"/>
        <v>0</v>
      </c>
      <c r="I1637" s="178">
        <f t="shared" si="51"/>
        <v>0</v>
      </c>
      <c r="J1637" s="109"/>
    </row>
    <row r="1638" spans="1:10" hidden="1">
      <c r="A1638" s="1558"/>
      <c r="B1638" s="425"/>
      <c r="C1638" s="578"/>
      <c r="D1638" s="578"/>
      <c r="E1638" s="580"/>
      <c r="F1638" s="69"/>
      <c r="G1638" s="69"/>
      <c r="H1638" s="178">
        <f t="shared" si="50"/>
        <v>0</v>
      </c>
      <c r="I1638" s="178">
        <f t="shared" si="51"/>
        <v>0</v>
      </c>
      <c r="J1638" s="109"/>
    </row>
    <row r="1639" spans="1:10" hidden="1">
      <c r="A1639" s="1558"/>
      <c r="B1639" s="425"/>
      <c r="C1639" s="561"/>
      <c r="D1639" s="493"/>
      <c r="E1639" s="493"/>
      <c r="F1639" s="69"/>
      <c r="G1639" s="69"/>
      <c r="H1639" s="178">
        <f t="shared" si="50"/>
        <v>0</v>
      </c>
      <c r="I1639" s="178">
        <f t="shared" si="51"/>
        <v>0</v>
      </c>
      <c r="J1639" s="109"/>
    </row>
    <row r="1640" spans="1:10" hidden="1">
      <c r="A1640" s="1558"/>
      <c r="B1640" s="425"/>
      <c r="C1640" s="578"/>
      <c r="D1640" s="578"/>
      <c r="E1640" s="580"/>
      <c r="F1640" s="69"/>
      <c r="G1640" s="69"/>
      <c r="H1640" s="178">
        <f t="shared" si="50"/>
        <v>0</v>
      </c>
      <c r="I1640" s="178">
        <f t="shared" si="51"/>
        <v>0</v>
      </c>
      <c r="J1640" s="109"/>
    </row>
    <row r="1641" spans="1:10" hidden="1">
      <c r="A1641" s="1558"/>
      <c r="B1641" s="425"/>
      <c r="C1641" s="578"/>
      <c r="D1641" s="578"/>
      <c r="E1641" s="580"/>
      <c r="F1641" s="69"/>
      <c r="G1641" s="69"/>
      <c r="H1641" s="178">
        <f t="shared" si="50"/>
        <v>0</v>
      </c>
      <c r="I1641" s="178">
        <f t="shared" si="51"/>
        <v>0</v>
      </c>
      <c r="J1641" s="109"/>
    </row>
    <row r="1642" spans="1:10" hidden="1">
      <c r="A1642" s="1558"/>
      <c r="B1642" s="425"/>
      <c r="C1642" s="578"/>
      <c r="D1642" s="578"/>
      <c r="E1642" s="580"/>
      <c r="F1642" s="69"/>
      <c r="G1642" s="69"/>
      <c r="H1642" s="178">
        <f t="shared" si="50"/>
        <v>0</v>
      </c>
      <c r="I1642" s="178">
        <f t="shared" si="51"/>
        <v>0</v>
      </c>
      <c r="J1642" s="109"/>
    </row>
    <row r="1643" spans="1:10" hidden="1">
      <c r="A1643" s="1558"/>
      <c r="B1643" s="425"/>
      <c r="C1643" s="578"/>
      <c r="D1643" s="578"/>
      <c r="E1643" s="580"/>
      <c r="F1643" s="69"/>
      <c r="G1643" s="69"/>
      <c r="H1643" s="178">
        <f t="shared" si="50"/>
        <v>0</v>
      </c>
      <c r="I1643" s="178">
        <f t="shared" si="51"/>
        <v>0</v>
      </c>
      <c r="J1643" s="109"/>
    </row>
    <row r="1644" spans="1:10" hidden="1">
      <c r="A1644" s="1558"/>
      <c r="B1644" s="425"/>
      <c r="C1644" s="578"/>
      <c r="D1644" s="578"/>
      <c r="E1644" s="580"/>
      <c r="F1644" s="69"/>
      <c r="G1644" s="69"/>
      <c r="H1644" s="178">
        <f t="shared" si="50"/>
        <v>0</v>
      </c>
      <c r="I1644" s="178">
        <f t="shared" si="51"/>
        <v>0</v>
      </c>
      <c r="J1644" s="109"/>
    </row>
    <row r="1645" spans="1:10" hidden="1">
      <c r="A1645" s="1558"/>
      <c r="B1645" s="425"/>
      <c r="C1645" s="578"/>
      <c r="D1645" s="578"/>
      <c r="E1645" s="580"/>
      <c r="F1645" s="69"/>
      <c r="G1645" s="69"/>
      <c r="H1645" s="178">
        <f t="shared" si="50"/>
        <v>0</v>
      </c>
      <c r="I1645" s="178">
        <f t="shared" si="51"/>
        <v>0</v>
      </c>
      <c r="J1645" s="109"/>
    </row>
    <row r="1646" spans="1:10" hidden="1">
      <c r="A1646" s="1558"/>
      <c r="B1646" s="425"/>
      <c r="C1646" s="578"/>
      <c r="D1646" s="578"/>
      <c r="E1646" s="580"/>
      <c r="F1646" s="69"/>
      <c r="G1646" s="69"/>
      <c r="H1646" s="178">
        <f t="shared" si="50"/>
        <v>0</v>
      </c>
      <c r="I1646" s="178">
        <f t="shared" si="51"/>
        <v>0</v>
      </c>
      <c r="J1646" s="109"/>
    </row>
    <row r="1647" spans="1:10" hidden="1">
      <c r="A1647" s="1558"/>
      <c r="B1647" s="425"/>
      <c r="C1647" s="578"/>
      <c r="D1647" s="578"/>
      <c r="E1647" s="580"/>
      <c r="F1647" s="69"/>
      <c r="G1647" s="69"/>
      <c r="H1647" s="178">
        <f t="shared" si="50"/>
        <v>0</v>
      </c>
      <c r="I1647" s="178">
        <f t="shared" si="51"/>
        <v>0</v>
      </c>
      <c r="J1647" s="109"/>
    </row>
    <row r="1648" spans="1:10" hidden="1">
      <c r="A1648" s="1558"/>
      <c r="B1648" s="425"/>
      <c r="C1648" s="578"/>
      <c r="D1648" s="578"/>
      <c r="E1648" s="580"/>
      <c r="F1648" s="69"/>
      <c r="G1648" s="69"/>
      <c r="H1648" s="178">
        <f t="shared" si="50"/>
        <v>0</v>
      </c>
      <c r="I1648" s="178">
        <f t="shared" si="51"/>
        <v>0</v>
      </c>
      <c r="J1648" s="109"/>
    </row>
    <row r="1649" spans="1:11" hidden="1">
      <c r="A1649" s="1558"/>
      <c r="B1649" s="425"/>
      <c r="C1649" s="578"/>
      <c r="D1649" s="578"/>
      <c r="E1649" s="580"/>
      <c r="F1649" s="69"/>
      <c r="G1649" s="69"/>
      <c r="H1649" s="178">
        <f t="shared" si="50"/>
        <v>0</v>
      </c>
      <c r="I1649" s="178">
        <f t="shared" si="51"/>
        <v>0</v>
      </c>
      <c r="J1649" s="109"/>
    </row>
    <row r="1650" spans="1:11" hidden="1">
      <c r="A1650" s="1558"/>
      <c r="B1650" s="425"/>
      <c r="C1650" s="578"/>
      <c r="D1650" s="578"/>
      <c r="E1650" s="580"/>
      <c r="F1650" s="69"/>
      <c r="G1650" s="69"/>
      <c r="H1650" s="178">
        <f t="shared" si="50"/>
        <v>0</v>
      </c>
      <c r="I1650" s="178">
        <f t="shared" si="51"/>
        <v>0</v>
      </c>
      <c r="J1650" s="109"/>
    </row>
    <row r="1651" spans="1:11" hidden="1">
      <c r="A1651" s="1558"/>
      <c r="B1651" s="425"/>
      <c r="C1651" s="578"/>
      <c r="D1651" s="578"/>
      <c r="E1651" s="580"/>
      <c r="F1651" s="69"/>
      <c r="G1651" s="69"/>
      <c r="H1651" s="178">
        <f t="shared" si="50"/>
        <v>0</v>
      </c>
      <c r="I1651" s="178">
        <f t="shared" si="51"/>
        <v>0</v>
      </c>
      <c r="J1651" s="109"/>
    </row>
    <row r="1652" spans="1:11" hidden="1">
      <c r="A1652" s="1558"/>
      <c r="B1652" s="425"/>
      <c r="C1652" s="561"/>
      <c r="D1652" s="577"/>
      <c r="E1652" s="577"/>
      <c r="F1652" s="69"/>
      <c r="G1652" s="69"/>
      <c r="H1652" s="178">
        <f t="shared" si="50"/>
        <v>0</v>
      </c>
      <c r="I1652" s="178">
        <f t="shared" si="51"/>
        <v>0</v>
      </c>
      <c r="J1652" s="109"/>
    </row>
    <row r="1653" spans="1:11">
      <c r="A1653" s="1558"/>
      <c r="B1653" s="209" t="s">
        <v>985</v>
      </c>
      <c r="C1653" s="588">
        <f>SUM(C1606:C1652)</f>
        <v>14000</v>
      </c>
      <c r="D1653" s="588">
        <f>SUM(D1606:D1652)</f>
        <v>0</v>
      </c>
      <c r="E1653" s="588">
        <f>SUM(E1606:E1652)</f>
        <v>14000</v>
      </c>
      <c r="F1653" s="115">
        <f>SUM(F1606:F1652)</f>
        <v>0</v>
      </c>
      <c r="G1653" s="115">
        <f>SUM(G1606:G1652)</f>
        <v>0</v>
      </c>
      <c r="H1653" s="1436">
        <f t="shared" si="50"/>
        <v>0</v>
      </c>
      <c r="I1653" s="1436">
        <f t="shared" si="51"/>
        <v>28000</v>
      </c>
      <c r="J1653" s="1439"/>
      <c r="K1653" s="1435"/>
    </row>
    <row r="1654" spans="1:11" s="109" customFormat="1" hidden="1">
      <c r="A1654" s="1558" t="s">
        <v>890</v>
      </c>
      <c r="B1654" s="530"/>
      <c r="C1654" s="573"/>
      <c r="D1654" s="573"/>
      <c r="E1654" s="573"/>
      <c r="F1654" s="247"/>
      <c r="G1654" s="247"/>
      <c r="H1654" s="178">
        <f t="shared" si="50"/>
        <v>0</v>
      </c>
      <c r="I1654" s="178">
        <f t="shared" si="51"/>
        <v>0</v>
      </c>
    </row>
    <row r="1655" spans="1:11" s="622" customFormat="1" hidden="1">
      <c r="A1655" s="1570"/>
      <c r="B1655" s="617"/>
      <c r="C1655" s="618"/>
      <c r="D1655" s="618"/>
      <c r="E1655" s="618"/>
      <c r="F1655" s="631"/>
      <c r="G1655" s="631"/>
      <c r="H1655" s="178">
        <f t="shared" si="50"/>
        <v>0</v>
      </c>
      <c r="I1655" s="178">
        <f t="shared" si="51"/>
        <v>0</v>
      </c>
      <c r="J1655" s="621"/>
    </row>
    <row r="1656" spans="1:11" hidden="1">
      <c r="A1656" s="1558"/>
      <c r="B1656" s="425"/>
      <c r="C1656" s="493"/>
      <c r="D1656" s="493"/>
      <c r="E1656" s="493"/>
      <c r="F1656" s="69"/>
      <c r="G1656" s="69"/>
      <c r="H1656" s="178">
        <f t="shared" si="50"/>
        <v>0</v>
      </c>
      <c r="I1656" s="178">
        <f t="shared" si="51"/>
        <v>0</v>
      </c>
      <c r="J1656" s="109"/>
    </row>
    <row r="1657" spans="1:11" hidden="1">
      <c r="A1657" s="1558"/>
      <c r="B1657" s="425"/>
      <c r="C1657" s="493"/>
      <c r="D1657" s="493"/>
      <c r="E1657" s="493"/>
      <c r="F1657" s="69"/>
      <c r="G1657" s="69"/>
      <c r="H1657" s="178">
        <f t="shared" si="50"/>
        <v>0</v>
      </c>
      <c r="I1657" s="178">
        <f t="shared" si="51"/>
        <v>0</v>
      </c>
      <c r="J1657" s="109"/>
    </row>
    <row r="1658" spans="1:11" hidden="1">
      <c r="A1658" s="1558"/>
      <c r="B1658" s="425"/>
      <c r="C1658" s="493"/>
      <c r="D1658" s="493"/>
      <c r="E1658" s="493"/>
      <c r="F1658" s="69"/>
      <c r="G1658" s="69"/>
      <c r="H1658" s="178">
        <f t="shared" si="50"/>
        <v>0</v>
      </c>
      <c r="I1658" s="178">
        <f t="shared" si="51"/>
        <v>0</v>
      </c>
      <c r="J1658" s="109"/>
    </row>
    <row r="1659" spans="1:11" hidden="1">
      <c r="A1659" s="1558"/>
      <c r="B1659" s="425"/>
      <c r="C1659" s="561"/>
      <c r="D1659" s="561"/>
      <c r="E1659" s="493"/>
      <c r="F1659" s="69"/>
      <c r="G1659" s="69"/>
      <c r="H1659" s="178">
        <f t="shared" si="50"/>
        <v>0</v>
      </c>
      <c r="I1659" s="178">
        <f t="shared" si="51"/>
        <v>0</v>
      </c>
      <c r="J1659" s="109"/>
    </row>
    <row r="1660" spans="1:11" hidden="1">
      <c r="A1660" s="1558"/>
      <c r="B1660" s="425"/>
      <c r="C1660" s="561"/>
      <c r="D1660" s="561"/>
      <c r="E1660" s="493"/>
      <c r="F1660" s="69"/>
      <c r="G1660" s="69"/>
      <c r="H1660" s="178">
        <f t="shared" si="50"/>
        <v>0</v>
      </c>
      <c r="I1660" s="178">
        <f t="shared" si="51"/>
        <v>0</v>
      </c>
      <c r="J1660" s="109"/>
    </row>
    <row r="1661" spans="1:11" hidden="1">
      <c r="A1661" s="1558"/>
      <c r="B1661" s="425"/>
      <c r="C1661" s="561"/>
      <c r="D1661" s="561"/>
      <c r="E1661" s="493"/>
      <c r="F1661" s="69"/>
      <c r="G1661" s="69"/>
      <c r="H1661" s="178">
        <f t="shared" si="50"/>
        <v>0</v>
      </c>
      <c r="I1661" s="178">
        <f t="shared" si="51"/>
        <v>0</v>
      </c>
      <c r="J1661" s="109"/>
    </row>
    <row r="1662" spans="1:11" hidden="1">
      <c r="A1662" s="1558"/>
      <c r="B1662" s="425"/>
      <c r="C1662" s="493"/>
      <c r="D1662" s="493"/>
      <c r="E1662" s="493"/>
      <c r="F1662" s="69"/>
      <c r="G1662" s="69"/>
      <c r="H1662" s="178">
        <f t="shared" si="50"/>
        <v>0</v>
      </c>
      <c r="I1662" s="178">
        <f t="shared" si="51"/>
        <v>0</v>
      </c>
      <c r="J1662" s="109"/>
    </row>
    <row r="1663" spans="1:11" hidden="1">
      <c r="A1663" s="1558"/>
      <c r="B1663" s="425"/>
      <c r="C1663" s="561"/>
      <c r="D1663" s="561"/>
      <c r="E1663" s="493"/>
      <c r="F1663" s="69"/>
      <c r="G1663" s="69"/>
      <c r="H1663" s="178">
        <f t="shared" si="50"/>
        <v>0</v>
      </c>
      <c r="I1663" s="178">
        <f t="shared" si="51"/>
        <v>0</v>
      </c>
      <c r="J1663" s="109"/>
    </row>
    <row r="1664" spans="1:11" hidden="1">
      <c r="A1664" s="1558"/>
      <c r="B1664" s="425"/>
      <c r="C1664" s="561"/>
      <c r="D1664" s="561"/>
      <c r="E1664" s="493"/>
      <c r="F1664" s="69"/>
      <c r="G1664" s="69"/>
      <c r="H1664" s="178">
        <f t="shared" si="50"/>
        <v>0</v>
      </c>
      <c r="I1664" s="178">
        <f t="shared" si="51"/>
        <v>0</v>
      </c>
      <c r="J1664" s="109"/>
    </row>
    <row r="1665" spans="1:10" hidden="1">
      <c r="A1665" s="1558"/>
      <c r="B1665" s="425"/>
      <c r="C1665" s="561"/>
      <c r="D1665" s="561"/>
      <c r="E1665" s="493"/>
      <c r="F1665" s="69"/>
      <c r="G1665" s="69"/>
      <c r="H1665" s="178">
        <f t="shared" si="50"/>
        <v>0</v>
      </c>
      <c r="I1665" s="178">
        <f t="shared" si="51"/>
        <v>0</v>
      </c>
      <c r="J1665" s="109"/>
    </row>
    <row r="1666" spans="1:10" hidden="1">
      <c r="A1666" s="1558"/>
      <c r="B1666" s="425"/>
      <c r="C1666" s="561"/>
      <c r="D1666" s="561"/>
      <c r="E1666" s="493"/>
      <c r="F1666" s="69"/>
      <c r="G1666" s="69"/>
      <c r="H1666" s="178">
        <f t="shared" si="50"/>
        <v>0</v>
      </c>
      <c r="I1666" s="178">
        <f t="shared" si="51"/>
        <v>0</v>
      </c>
      <c r="J1666" s="109"/>
    </row>
    <row r="1667" spans="1:10" hidden="1">
      <c r="A1667" s="1558"/>
      <c r="B1667" s="425"/>
      <c r="C1667" s="561"/>
      <c r="D1667" s="493"/>
      <c r="E1667" s="493"/>
      <c r="F1667" s="69"/>
      <c r="G1667" s="69"/>
      <c r="H1667" s="178">
        <f t="shared" si="50"/>
        <v>0</v>
      </c>
      <c r="I1667" s="178">
        <f t="shared" si="51"/>
        <v>0</v>
      </c>
      <c r="J1667" s="109"/>
    </row>
    <row r="1668" spans="1:10" hidden="1">
      <c r="A1668" s="1558"/>
      <c r="B1668" s="425"/>
      <c r="C1668" s="561"/>
      <c r="D1668" s="561"/>
      <c r="E1668" s="577"/>
      <c r="F1668" s="69"/>
      <c r="G1668" s="69"/>
      <c r="H1668" s="178">
        <f t="shared" si="50"/>
        <v>0</v>
      </c>
      <c r="I1668" s="178">
        <f t="shared" si="51"/>
        <v>0</v>
      </c>
      <c r="J1668" s="109"/>
    </row>
    <row r="1669" spans="1:10" hidden="1">
      <c r="A1669" s="1558"/>
      <c r="B1669" s="427"/>
      <c r="C1669" s="579"/>
      <c r="D1669" s="579"/>
      <c r="E1669" s="579"/>
      <c r="F1669" s="69"/>
      <c r="G1669" s="69"/>
      <c r="H1669" s="178">
        <f t="shared" si="50"/>
        <v>0</v>
      </c>
      <c r="I1669" s="178">
        <f t="shared" si="51"/>
        <v>0</v>
      </c>
      <c r="J1669" s="109"/>
    </row>
    <row r="1670" spans="1:10" hidden="1">
      <c r="A1670" s="1558"/>
      <c r="B1670" s="427"/>
      <c r="C1670" s="579"/>
      <c r="D1670" s="579"/>
      <c r="E1670" s="579"/>
      <c r="F1670" s="69"/>
      <c r="G1670" s="69"/>
      <c r="H1670" s="178">
        <f t="shared" si="50"/>
        <v>0</v>
      </c>
      <c r="I1670" s="178">
        <f t="shared" si="51"/>
        <v>0</v>
      </c>
      <c r="J1670" s="109"/>
    </row>
    <row r="1671" spans="1:10" hidden="1">
      <c r="A1671" s="1558"/>
      <c r="B1671" s="427"/>
      <c r="C1671" s="579"/>
      <c r="D1671" s="579"/>
      <c r="E1671" s="579"/>
      <c r="F1671" s="69"/>
      <c r="G1671" s="69"/>
      <c r="H1671" s="178">
        <f t="shared" si="50"/>
        <v>0</v>
      </c>
      <c r="I1671" s="178">
        <f t="shared" si="51"/>
        <v>0</v>
      </c>
      <c r="J1671" s="109"/>
    </row>
    <row r="1672" spans="1:10" hidden="1">
      <c r="A1672" s="1558"/>
      <c r="B1672" s="427"/>
      <c r="C1672" s="579"/>
      <c r="D1672" s="579"/>
      <c r="E1672" s="579"/>
      <c r="F1672" s="69"/>
      <c r="G1672" s="69"/>
      <c r="H1672" s="178">
        <f t="shared" si="50"/>
        <v>0</v>
      </c>
      <c r="I1672" s="178">
        <f t="shared" si="51"/>
        <v>0</v>
      </c>
      <c r="J1672" s="109"/>
    </row>
    <row r="1673" spans="1:10" hidden="1">
      <c r="A1673" s="1558"/>
      <c r="B1673" s="427"/>
      <c r="C1673" s="579"/>
      <c r="D1673" s="579"/>
      <c r="E1673" s="579"/>
      <c r="F1673" s="69"/>
      <c r="G1673" s="69"/>
      <c r="H1673" s="178">
        <f t="shared" ref="H1673:H1736" si="52">E1673+D1673-C1673</f>
        <v>0</v>
      </c>
      <c r="I1673" s="178">
        <f t="shared" ref="I1673:I1736" si="53">SUM(C1673:E1673)</f>
        <v>0</v>
      </c>
      <c r="J1673" s="109"/>
    </row>
    <row r="1674" spans="1:10" hidden="1">
      <c r="A1674" s="1558"/>
      <c r="B1674" s="427"/>
      <c r="C1674" s="579"/>
      <c r="D1674" s="579"/>
      <c r="E1674" s="579"/>
      <c r="F1674" s="69"/>
      <c r="G1674" s="69"/>
      <c r="H1674" s="178">
        <f t="shared" si="52"/>
        <v>0</v>
      </c>
      <c r="I1674" s="178">
        <f t="shared" si="53"/>
        <v>0</v>
      </c>
      <c r="J1674" s="109"/>
    </row>
    <row r="1675" spans="1:10" hidden="1">
      <c r="A1675" s="1558"/>
      <c r="B1675" s="427"/>
      <c r="C1675" s="578"/>
      <c r="D1675" s="578"/>
      <c r="E1675" s="579"/>
      <c r="F1675" s="69"/>
      <c r="G1675" s="69"/>
      <c r="H1675" s="178">
        <f t="shared" si="52"/>
        <v>0</v>
      </c>
      <c r="I1675" s="178">
        <f t="shared" si="53"/>
        <v>0</v>
      </c>
      <c r="J1675" s="109"/>
    </row>
    <row r="1676" spans="1:10" hidden="1">
      <c r="A1676" s="1558"/>
      <c r="B1676" s="427"/>
      <c r="C1676" s="578"/>
      <c r="D1676" s="578"/>
      <c r="E1676" s="579"/>
      <c r="F1676" s="69"/>
      <c r="G1676" s="69"/>
      <c r="H1676" s="178">
        <f t="shared" si="52"/>
        <v>0</v>
      </c>
      <c r="I1676" s="178">
        <f t="shared" si="53"/>
        <v>0</v>
      </c>
      <c r="J1676" s="109"/>
    </row>
    <row r="1677" spans="1:10" hidden="1">
      <c r="A1677" s="1558"/>
      <c r="B1677" s="427"/>
      <c r="C1677" s="578"/>
      <c r="D1677" s="578"/>
      <c r="E1677" s="579"/>
      <c r="F1677" s="69"/>
      <c r="G1677" s="69"/>
      <c r="H1677" s="178">
        <f t="shared" si="52"/>
        <v>0</v>
      </c>
      <c r="I1677" s="178">
        <f t="shared" si="53"/>
        <v>0</v>
      </c>
      <c r="J1677" s="109"/>
    </row>
    <row r="1678" spans="1:10" hidden="1">
      <c r="A1678" s="1558"/>
      <c r="B1678" s="425"/>
      <c r="C1678" s="578"/>
      <c r="D1678" s="578"/>
      <c r="E1678" s="580"/>
      <c r="F1678" s="69"/>
      <c r="G1678" s="69"/>
      <c r="H1678" s="178">
        <f t="shared" si="52"/>
        <v>0</v>
      </c>
      <c r="I1678" s="178">
        <f t="shared" si="53"/>
        <v>0</v>
      </c>
      <c r="J1678" s="109"/>
    </row>
    <row r="1679" spans="1:10" hidden="1">
      <c r="A1679" s="1558"/>
      <c r="B1679" s="425"/>
      <c r="C1679" s="578"/>
      <c r="D1679" s="578"/>
      <c r="E1679" s="580"/>
      <c r="F1679" s="69"/>
      <c r="G1679" s="69"/>
      <c r="H1679" s="178">
        <f t="shared" si="52"/>
        <v>0</v>
      </c>
      <c r="I1679" s="178">
        <f t="shared" si="53"/>
        <v>0</v>
      </c>
      <c r="J1679" s="109"/>
    </row>
    <row r="1680" spans="1:10" hidden="1">
      <c r="A1680" s="1558"/>
      <c r="B1680" s="425"/>
      <c r="C1680" s="578"/>
      <c r="D1680" s="578"/>
      <c r="E1680" s="580"/>
      <c r="F1680" s="69"/>
      <c r="G1680" s="69"/>
      <c r="H1680" s="178">
        <f t="shared" si="52"/>
        <v>0</v>
      </c>
      <c r="I1680" s="178">
        <f t="shared" si="53"/>
        <v>0</v>
      </c>
      <c r="J1680" s="109"/>
    </row>
    <row r="1681" spans="1:10" hidden="1">
      <c r="A1681" s="1558"/>
      <c r="B1681" s="425"/>
      <c r="C1681" s="578"/>
      <c r="D1681" s="578"/>
      <c r="E1681" s="580"/>
      <c r="F1681" s="69"/>
      <c r="G1681" s="69"/>
      <c r="H1681" s="178">
        <f t="shared" si="52"/>
        <v>0</v>
      </c>
      <c r="I1681" s="178">
        <f t="shared" si="53"/>
        <v>0</v>
      </c>
      <c r="J1681" s="109"/>
    </row>
    <row r="1682" spans="1:10" hidden="1">
      <c r="A1682" s="1558"/>
      <c r="B1682" s="425"/>
      <c r="C1682" s="578"/>
      <c r="D1682" s="578"/>
      <c r="E1682" s="580"/>
      <c r="F1682" s="69"/>
      <c r="G1682" s="69"/>
      <c r="H1682" s="178">
        <f t="shared" si="52"/>
        <v>0</v>
      </c>
      <c r="I1682" s="178">
        <f t="shared" si="53"/>
        <v>0</v>
      </c>
      <c r="J1682" s="109"/>
    </row>
    <row r="1683" spans="1:10" hidden="1">
      <c r="A1683" s="1558"/>
      <c r="B1683" s="425"/>
      <c r="C1683" s="578"/>
      <c r="D1683" s="578"/>
      <c r="E1683" s="580"/>
      <c r="F1683" s="69"/>
      <c r="G1683" s="69"/>
      <c r="H1683" s="178">
        <f t="shared" si="52"/>
        <v>0</v>
      </c>
      <c r="I1683" s="178">
        <f t="shared" si="53"/>
        <v>0</v>
      </c>
      <c r="J1683" s="109"/>
    </row>
    <row r="1684" spans="1:10" hidden="1">
      <c r="A1684" s="1558"/>
      <c r="B1684" s="425"/>
      <c r="C1684" s="578"/>
      <c r="D1684" s="578"/>
      <c r="E1684" s="580"/>
      <c r="F1684" s="69"/>
      <c r="G1684" s="69"/>
      <c r="H1684" s="178">
        <f t="shared" si="52"/>
        <v>0</v>
      </c>
      <c r="I1684" s="178">
        <f t="shared" si="53"/>
        <v>0</v>
      </c>
      <c r="J1684" s="109"/>
    </row>
    <row r="1685" spans="1:10" hidden="1">
      <c r="A1685" s="1558"/>
      <c r="B1685" s="425"/>
      <c r="C1685" s="578"/>
      <c r="D1685" s="578"/>
      <c r="E1685" s="580"/>
      <c r="F1685" s="69"/>
      <c r="G1685" s="69"/>
      <c r="H1685" s="178">
        <f t="shared" si="52"/>
        <v>0</v>
      </c>
      <c r="I1685" s="178">
        <f t="shared" si="53"/>
        <v>0</v>
      </c>
      <c r="J1685" s="109"/>
    </row>
    <row r="1686" spans="1:10" hidden="1">
      <c r="A1686" s="1558"/>
      <c r="B1686" s="425"/>
      <c r="C1686" s="578"/>
      <c r="D1686" s="578"/>
      <c r="E1686" s="580"/>
      <c r="F1686" s="69"/>
      <c r="G1686" s="69"/>
      <c r="H1686" s="178">
        <f t="shared" si="52"/>
        <v>0</v>
      </c>
      <c r="I1686" s="178">
        <f t="shared" si="53"/>
        <v>0</v>
      </c>
      <c r="J1686" s="109"/>
    </row>
    <row r="1687" spans="1:10" hidden="1">
      <c r="A1687" s="1558"/>
      <c r="B1687" s="425"/>
      <c r="C1687" s="561"/>
      <c r="D1687" s="493"/>
      <c r="E1687" s="493"/>
      <c r="F1687" s="69"/>
      <c r="G1687" s="69"/>
      <c r="H1687" s="178">
        <f t="shared" si="52"/>
        <v>0</v>
      </c>
      <c r="I1687" s="178">
        <f t="shared" si="53"/>
        <v>0</v>
      </c>
      <c r="J1687" s="109"/>
    </row>
    <row r="1688" spans="1:10" hidden="1">
      <c r="A1688" s="1558"/>
      <c r="B1688" s="425"/>
      <c r="C1688" s="578"/>
      <c r="D1688" s="578"/>
      <c r="E1688" s="580"/>
      <c r="F1688" s="69"/>
      <c r="G1688" s="69"/>
      <c r="H1688" s="178">
        <f t="shared" si="52"/>
        <v>0</v>
      </c>
      <c r="I1688" s="178">
        <f t="shared" si="53"/>
        <v>0</v>
      </c>
      <c r="J1688" s="109"/>
    </row>
    <row r="1689" spans="1:10" hidden="1">
      <c r="A1689" s="1558"/>
      <c r="B1689" s="425"/>
      <c r="C1689" s="578"/>
      <c r="D1689" s="578"/>
      <c r="E1689" s="580"/>
      <c r="F1689" s="69"/>
      <c r="G1689" s="69"/>
      <c r="H1689" s="178">
        <f t="shared" si="52"/>
        <v>0</v>
      </c>
      <c r="I1689" s="178">
        <f t="shared" si="53"/>
        <v>0</v>
      </c>
      <c r="J1689" s="109"/>
    </row>
    <row r="1690" spans="1:10" hidden="1">
      <c r="A1690" s="1558"/>
      <c r="B1690" s="425"/>
      <c r="C1690" s="578"/>
      <c r="D1690" s="578"/>
      <c r="E1690" s="580"/>
      <c r="F1690" s="69"/>
      <c r="G1690" s="69"/>
      <c r="H1690" s="178">
        <f t="shared" si="52"/>
        <v>0</v>
      </c>
      <c r="I1690" s="178">
        <f t="shared" si="53"/>
        <v>0</v>
      </c>
      <c r="J1690" s="109"/>
    </row>
    <row r="1691" spans="1:10" hidden="1">
      <c r="A1691" s="1558"/>
      <c r="B1691" s="425"/>
      <c r="C1691" s="578"/>
      <c r="D1691" s="578"/>
      <c r="E1691" s="580"/>
      <c r="F1691" s="69"/>
      <c r="G1691" s="69"/>
      <c r="H1691" s="178">
        <f t="shared" si="52"/>
        <v>0</v>
      </c>
      <c r="I1691" s="178">
        <f t="shared" si="53"/>
        <v>0</v>
      </c>
      <c r="J1691" s="109"/>
    </row>
    <row r="1692" spans="1:10" hidden="1">
      <c r="A1692" s="1558"/>
      <c r="B1692" s="425"/>
      <c r="C1692" s="578"/>
      <c r="D1692" s="578"/>
      <c r="E1692" s="580"/>
      <c r="F1692" s="69"/>
      <c r="G1692" s="69"/>
      <c r="H1692" s="178">
        <f t="shared" si="52"/>
        <v>0</v>
      </c>
      <c r="I1692" s="178">
        <f t="shared" si="53"/>
        <v>0</v>
      </c>
      <c r="J1692" s="109"/>
    </row>
    <row r="1693" spans="1:10" hidden="1">
      <c r="A1693" s="1558"/>
      <c r="B1693" s="425"/>
      <c r="C1693" s="578"/>
      <c r="D1693" s="578"/>
      <c r="E1693" s="580"/>
      <c r="F1693" s="69"/>
      <c r="G1693" s="69"/>
      <c r="H1693" s="178">
        <f t="shared" si="52"/>
        <v>0</v>
      </c>
      <c r="I1693" s="178">
        <f t="shared" si="53"/>
        <v>0</v>
      </c>
      <c r="J1693" s="109"/>
    </row>
    <row r="1694" spans="1:10" hidden="1">
      <c r="A1694" s="1558"/>
      <c r="B1694" s="425"/>
      <c r="C1694" s="578"/>
      <c r="D1694" s="578"/>
      <c r="E1694" s="580"/>
      <c r="F1694" s="69"/>
      <c r="G1694" s="69"/>
      <c r="H1694" s="178">
        <f t="shared" si="52"/>
        <v>0</v>
      </c>
      <c r="I1694" s="178">
        <f t="shared" si="53"/>
        <v>0</v>
      </c>
      <c r="J1694" s="109"/>
    </row>
    <row r="1695" spans="1:10" hidden="1">
      <c r="A1695" s="1558"/>
      <c r="B1695" s="425"/>
      <c r="C1695" s="578"/>
      <c r="D1695" s="578"/>
      <c r="E1695" s="580"/>
      <c r="F1695" s="69"/>
      <c r="G1695" s="69"/>
      <c r="H1695" s="178">
        <f t="shared" si="52"/>
        <v>0</v>
      </c>
      <c r="I1695" s="178">
        <f t="shared" si="53"/>
        <v>0</v>
      </c>
      <c r="J1695" s="109"/>
    </row>
    <row r="1696" spans="1:10" hidden="1">
      <c r="A1696" s="1558"/>
      <c r="B1696" s="425"/>
      <c r="C1696" s="578"/>
      <c r="D1696" s="578"/>
      <c r="E1696" s="580"/>
      <c r="F1696" s="69"/>
      <c r="G1696" s="69"/>
      <c r="H1696" s="178">
        <f t="shared" si="52"/>
        <v>0</v>
      </c>
      <c r="I1696" s="178">
        <f t="shared" si="53"/>
        <v>0</v>
      </c>
      <c r="J1696" s="109"/>
    </row>
    <row r="1697" spans="1:10" hidden="1">
      <c r="A1697" s="1558"/>
      <c r="B1697" s="425"/>
      <c r="C1697" s="578"/>
      <c r="D1697" s="578"/>
      <c r="E1697" s="580"/>
      <c r="F1697" s="69"/>
      <c r="G1697" s="69"/>
      <c r="H1697" s="178">
        <f t="shared" si="52"/>
        <v>0</v>
      </c>
      <c r="I1697" s="178">
        <f t="shared" si="53"/>
        <v>0</v>
      </c>
      <c r="J1697" s="109"/>
    </row>
    <row r="1698" spans="1:10" hidden="1">
      <c r="A1698" s="1558"/>
      <c r="B1698" s="425"/>
      <c r="C1698" s="578"/>
      <c r="D1698" s="578"/>
      <c r="E1698" s="580"/>
      <c r="F1698" s="69"/>
      <c r="G1698" s="69"/>
      <c r="H1698" s="178">
        <f t="shared" si="52"/>
        <v>0</v>
      </c>
      <c r="I1698" s="178">
        <f t="shared" si="53"/>
        <v>0</v>
      </c>
      <c r="J1698" s="109"/>
    </row>
    <row r="1699" spans="1:10" hidden="1">
      <c r="A1699" s="1558"/>
      <c r="B1699" s="425"/>
      <c r="C1699" s="578"/>
      <c r="D1699" s="578"/>
      <c r="E1699" s="580"/>
      <c r="F1699" s="69"/>
      <c r="G1699" s="69"/>
      <c r="H1699" s="178">
        <f t="shared" si="52"/>
        <v>0</v>
      </c>
      <c r="I1699" s="178">
        <f t="shared" si="53"/>
        <v>0</v>
      </c>
      <c r="J1699" s="109"/>
    </row>
    <row r="1700" spans="1:10" hidden="1">
      <c r="A1700" s="1558"/>
      <c r="B1700" s="425"/>
      <c r="C1700" s="561"/>
      <c r="D1700" s="577"/>
      <c r="E1700" s="577"/>
      <c r="F1700" s="69"/>
      <c r="G1700" s="69"/>
      <c r="H1700" s="178">
        <f t="shared" si="52"/>
        <v>0</v>
      </c>
      <c r="I1700" s="178">
        <f t="shared" si="53"/>
        <v>0</v>
      </c>
      <c r="J1700" s="109"/>
    </row>
    <row r="1701" spans="1:10" ht="41.45" hidden="1" customHeight="1">
      <c r="A1701" s="1570"/>
      <c r="B1701" s="209" t="s">
        <v>985</v>
      </c>
      <c r="C1701" s="588">
        <f>SUM(C1654:C1700)</f>
        <v>0</v>
      </c>
      <c r="D1701" s="588">
        <f>SUM(D1654:D1700)</f>
        <v>0</v>
      </c>
      <c r="E1701" s="588">
        <f>SUM(E1654:E1700)</f>
        <v>0</v>
      </c>
      <c r="F1701" s="115">
        <f>SUM(F1654:F1700)</f>
        <v>0</v>
      </c>
      <c r="G1701" s="115">
        <f>SUM(G1654:G1700)</f>
        <v>0</v>
      </c>
      <c r="H1701" s="178">
        <f t="shared" si="52"/>
        <v>0</v>
      </c>
      <c r="I1701" s="178">
        <f t="shared" si="53"/>
        <v>0</v>
      </c>
      <c r="J1701" s="109"/>
    </row>
    <row r="1702" spans="1:10" s="109" customFormat="1" hidden="1">
      <c r="A1702" s="1558" t="s">
        <v>307</v>
      </c>
      <c r="B1702" s="369"/>
      <c r="C1702" s="590"/>
      <c r="D1702" s="590"/>
      <c r="E1702" s="590"/>
      <c r="F1702" s="247"/>
      <c r="G1702" s="247"/>
      <c r="H1702" s="178">
        <f t="shared" si="52"/>
        <v>0</v>
      </c>
      <c r="I1702" s="178">
        <f t="shared" si="53"/>
        <v>0</v>
      </c>
    </row>
    <row r="1703" spans="1:10" s="376" customFormat="1" hidden="1">
      <c r="A1703" s="1558"/>
      <c r="B1703" s="371"/>
      <c r="C1703" s="826"/>
      <c r="D1703" s="826"/>
      <c r="E1703" s="826"/>
      <c r="F1703" s="827"/>
      <c r="G1703" s="827"/>
      <c r="H1703" s="178">
        <f t="shared" si="52"/>
        <v>0</v>
      </c>
      <c r="I1703" s="178">
        <f t="shared" si="53"/>
        <v>0</v>
      </c>
      <c r="J1703" s="823"/>
    </row>
    <row r="1704" spans="1:10" hidden="1">
      <c r="A1704" s="1558"/>
      <c r="B1704" s="425"/>
      <c r="C1704" s="493"/>
      <c r="D1704" s="493"/>
      <c r="E1704" s="493"/>
      <c r="F1704" s="69"/>
      <c r="G1704" s="69"/>
      <c r="H1704" s="178">
        <f t="shared" si="52"/>
        <v>0</v>
      </c>
      <c r="I1704" s="178">
        <f t="shared" si="53"/>
        <v>0</v>
      </c>
      <c r="J1704" s="109"/>
    </row>
    <row r="1705" spans="1:10" hidden="1">
      <c r="A1705" s="1558"/>
      <c r="B1705" s="425"/>
      <c r="C1705" s="493"/>
      <c r="D1705" s="493"/>
      <c r="E1705" s="493"/>
      <c r="F1705" s="69"/>
      <c r="G1705" s="69"/>
      <c r="H1705" s="178">
        <f t="shared" si="52"/>
        <v>0</v>
      </c>
      <c r="I1705" s="178">
        <f t="shared" si="53"/>
        <v>0</v>
      </c>
      <c r="J1705" s="109"/>
    </row>
    <row r="1706" spans="1:10" hidden="1">
      <c r="A1706" s="1558"/>
      <c r="B1706" s="425"/>
      <c r="C1706" s="493"/>
      <c r="D1706" s="493"/>
      <c r="E1706" s="493"/>
      <c r="F1706" s="69"/>
      <c r="G1706" s="69"/>
      <c r="H1706" s="178">
        <f t="shared" si="52"/>
        <v>0</v>
      </c>
      <c r="I1706" s="178">
        <f t="shared" si="53"/>
        <v>0</v>
      </c>
      <c r="J1706" s="109"/>
    </row>
    <row r="1707" spans="1:10" hidden="1">
      <c r="A1707" s="1558"/>
      <c r="B1707" s="425"/>
      <c r="C1707" s="561"/>
      <c r="D1707" s="561"/>
      <c r="E1707" s="493"/>
      <c r="F1707" s="69"/>
      <c r="G1707" s="69"/>
      <c r="H1707" s="178">
        <f t="shared" si="52"/>
        <v>0</v>
      </c>
      <c r="I1707" s="178">
        <f t="shared" si="53"/>
        <v>0</v>
      </c>
      <c r="J1707" s="109"/>
    </row>
    <row r="1708" spans="1:10" hidden="1">
      <c r="A1708" s="1558"/>
      <c r="B1708" s="425"/>
      <c r="C1708" s="561"/>
      <c r="D1708" s="561"/>
      <c r="E1708" s="493"/>
      <c r="F1708" s="69"/>
      <c r="G1708" s="69"/>
      <c r="H1708" s="178">
        <f t="shared" si="52"/>
        <v>0</v>
      </c>
      <c r="I1708" s="178">
        <f t="shared" si="53"/>
        <v>0</v>
      </c>
      <c r="J1708" s="109"/>
    </row>
    <row r="1709" spans="1:10" hidden="1">
      <c r="A1709" s="1558"/>
      <c r="B1709" s="425"/>
      <c r="C1709" s="561"/>
      <c r="D1709" s="561"/>
      <c r="E1709" s="493"/>
      <c r="F1709" s="69"/>
      <c r="G1709" s="69"/>
      <c r="H1709" s="178">
        <f t="shared" si="52"/>
        <v>0</v>
      </c>
      <c r="I1709" s="178">
        <f t="shared" si="53"/>
        <v>0</v>
      </c>
      <c r="J1709" s="109"/>
    </row>
    <row r="1710" spans="1:10" hidden="1">
      <c r="A1710" s="1558"/>
      <c r="B1710" s="425"/>
      <c r="C1710" s="493"/>
      <c r="D1710" s="493"/>
      <c r="E1710" s="493"/>
      <c r="F1710" s="69"/>
      <c r="G1710" s="69"/>
      <c r="H1710" s="178">
        <f t="shared" si="52"/>
        <v>0</v>
      </c>
      <c r="I1710" s="178">
        <f t="shared" si="53"/>
        <v>0</v>
      </c>
      <c r="J1710" s="109"/>
    </row>
    <row r="1711" spans="1:10" hidden="1">
      <c r="A1711" s="1558"/>
      <c r="B1711" s="425"/>
      <c r="C1711" s="561"/>
      <c r="D1711" s="561"/>
      <c r="E1711" s="493"/>
      <c r="F1711" s="69"/>
      <c r="G1711" s="69"/>
      <c r="H1711" s="178">
        <f t="shared" si="52"/>
        <v>0</v>
      </c>
      <c r="I1711" s="178">
        <f t="shared" si="53"/>
        <v>0</v>
      </c>
      <c r="J1711" s="109"/>
    </row>
    <row r="1712" spans="1:10" hidden="1">
      <c r="A1712" s="1558"/>
      <c r="B1712" s="425"/>
      <c r="C1712" s="561"/>
      <c r="D1712" s="561"/>
      <c r="E1712" s="493"/>
      <c r="F1712" s="69"/>
      <c r="G1712" s="69"/>
      <c r="H1712" s="178">
        <f t="shared" si="52"/>
        <v>0</v>
      </c>
      <c r="I1712" s="178">
        <f t="shared" si="53"/>
        <v>0</v>
      </c>
      <c r="J1712" s="109"/>
    </row>
    <row r="1713" spans="1:10" hidden="1">
      <c r="A1713" s="1558"/>
      <c r="B1713" s="425"/>
      <c r="C1713" s="561"/>
      <c r="D1713" s="561"/>
      <c r="E1713" s="493"/>
      <c r="F1713" s="69"/>
      <c r="G1713" s="69"/>
      <c r="H1713" s="178">
        <f t="shared" si="52"/>
        <v>0</v>
      </c>
      <c r="I1713" s="178">
        <f t="shared" si="53"/>
        <v>0</v>
      </c>
      <c r="J1713" s="109"/>
    </row>
    <row r="1714" spans="1:10" hidden="1">
      <c r="A1714" s="1558"/>
      <c r="B1714" s="425"/>
      <c r="C1714" s="561"/>
      <c r="D1714" s="561"/>
      <c r="E1714" s="493"/>
      <c r="F1714" s="69"/>
      <c r="G1714" s="69"/>
      <c r="H1714" s="178">
        <f t="shared" si="52"/>
        <v>0</v>
      </c>
      <c r="I1714" s="178">
        <f t="shared" si="53"/>
        <v>0</v>
      </c>
      <c r="J1714" s="109"/>
    </row>
    <row r="1715" spans="1:10" hidden="1">
      <c r="A1715" s="1558"/>
      <c r="B1715" s="425"/>
      <c r="C1715" s="561"/>
      <c r="D1715" s="493"/>
      <c r="E1715" s="493"/>
      <c r="F1715" s="69"/>
      <c r="G1715" s="69"/>
      <c r="H1715" s="178">
        <f t="shared" si="52"/>
        <v>0</v>
      </c>
      <c r="I1715" s="178">
        <f t="shared" si="53"/>
        <v>0</v>
      </c>
      <c r="J1715" s="109"/>
    </row>
    <row r="1716" spans="1:10" hidden="1">
      <c r="A1716" s="1558"/>
      <c r="B1716" s="425"/>
      <c r="C1716" s="561"/>
      <c r="D1716" s="561"/>
      <c r="E1716" s="577"/>
      <c r="F1716" s="69"/>
      <c r="G1716" s="69"/>
      <c r="H1716" s="178">
        <f t="shared" si="52"/>
        <v>0</v>
      </c>
      <c r="I1716" s="178">
        <f t="shared" si="53"/>
        <v>0</v>
      </c>
      <c r="J1716" s="109"/>
    </row>
    <row r="1717" spans="1:10" hidden="1">
      <c r="A1717" s="1558"/>
      <c r="B1717" s="427"/>
      <c r="C1717" s="579"/>
      <c r="D1717" s="579"/>
      <c r="E1717" s="579"/>
      <c r="F1717" s="69"/>
      <c r="G1717" s="69"/>
      <c r="H1717" s="178">
        <f t="shared" si="52"/>
        <v>0</v>
      </c>
      <c r="I1717" s="178">
        <f t="shared" si="53"/>
        <v>0</v>
      </c>
      <c r="J1717" s="109"/>
    </row>
    <row r="1718" spans="1:10" hidden="1">
      <c r="A1718" s="1558"/>
      <c r="B1718" s="427"/>
      <c r="C1718" s="579"/>
      <c r="D1718" s="579"/>
      <c r="E1718" s="579"/>
      <c r="F1718" s="69"/>
      <c r="G1718" s="69"/>
      <c r="H1718" s="178">
        <f t="shared" si="52"/>
        <v>0</v>
      </c>
      <c r="I1718" s="178">
        <f t="shared" si="53"/>
        <v>0</v>
      </c>
      <c r="J1718" s="109"/>
    </row>
    <row r="1719" spans="1:10" hidden="1">
      <c r="A1719" s="1558"/>
      <c r="B1719" s="427"/>
      <c r="C1719" s="579"/>
      <c r="D1719" s="579"/>
      <c r="E1719" s="579"/>
      <c r="F1719" s="69"/>
      <c r="G1719" s="69"/>
      <c r="H1719" s="178">
        <f t="shared" si="52"/>
        <v>0</v>
      </c>
      <c r="I1719" s="178">
        <f t="shared" si="53"/>
        <v>0</v>
      </c>
      <c r="J1719" s="109"/>
    </row>
    <row r="1720" spans="1:10" hidden="1">
      <c r="A1720" s="1558"/>
      <c r="B1720" s="427"/>
      <c r="C1720" s="579"/>
      <c r="D1720" s="579"/>
      <c r="E1720" s="579"/>
      <c r="F1720" s="69"/>
      <c r="G1720" s="69"/>
      <c r="H1720" s="178">
        <f t="shared" si="52"/>
        <v>0</v>
      </c>
      <c r="I1720" s="178">
        <f t="shared" si="53"/>
        <v>0</v>
      </c>
      <c r="J1720" s="109"/>
    </row>
    <row r="1721" spans="1:10" hidden="1">
      <c r="A1721" s="1558"/>
      <c r="B1721" s="427"/>
      <c r="C1721" s="579"/>
      <c r="D1721" s="579"/>
      <c r="E1721" s="579"/>
      <c r="F1721" s="69"/>
      <c r="G1721" s="69"/>
      <c r="H1721" s="178">
        <f t="shared" si="52"/>
        <v>0</v>
      </c>
      <c r="I1721" s="178">
        <f t="shared" si="53"/>
        <v>0</v>
      </c>
      <c r="J1721" s="109"/>
    </row>
    <row r="1722" spans="1:10" hidden="1">
      <c r="A1722" s="1558"/>
      <c r="B1722" s="427"/>
      <c r="C1722" s="579"/>
      <c r="D1722" s="579"/>
      <c r="E1722" s="579"/>
      <c r="F1722" s="69"/>
      <c r="G1722" s="69"/>
      <c r="H1722" s="178">
        <f t="shared" si="52"/>
        <v>0</v>
      </c>
      <c r="I1722" s="178">
        <f t="shared" si="53"/>
        <v>0</v>
      </c>
      <c r="J1722" s="109"/>
    </row>
    <row r="1723" spans="1:10" hidden="1">
      <c r="A1723" s="1558"/>
      <c r="B1723" s="427"/>
      <c r="C1723" s="578"/>
      <c r="D1723" s="578"/>
      <c r="E1723" s="579"/>
      <c r="F1723" s="69"/>
      <c r="G1723" s="69"/>
      <c r="H1723" s="178">
        <f t="shared" si="52"/>
        <v>0</v>
      </c>
      <c r="I1723" s="178">
        <f t="shared" si="53"/>
        <v>0</v>
      </c>
      <c r="J1723" s="109"/>
    </row>
    <row r="1724" spans="1:10" hidden="1">
      <c r="A1724" s="1558"/>
      <c r="B1724" s="427"/>
      <c r="C1724" s="578"/>
      <c r="D1724" s="578"/>
      <c r="E1724" s="579"/>
      <c r="F1724" s="69"/>
      <c r="G1724" s="69"/>
      <c r="H1724" s="178">
        <f t="shared" si="52"/>
        <v>0</v>
      </c>
      <c r="I1724" s="178">
        <f t="shared" si="53"/>
        <v>0</v>
      </c>
      <c r="J1724" s="109"/>
    </row>
    <row r="1725" spans="1:10" hidden="1">
      <c r="A1725" s="1558"/>
      <c r="B1725" s="427"/>
      <c r="C1725" s="578"/>
      <c r="D1725" s="578"/>
      <c r="E1725" s="579"/>
      <c r="F1725" s="69"/>
      <c r="G1725" s="69"/>
      <c r="H1725" s="178">
        <f t="shared" si="52"/>
        <v>0</v>
      </c>
      <c r="I1725" s="178">
        <f t="shared" si="53"/>
        <v>0</v>
      </c>
      <c r="J1725" s="109"/>
    </row>
    <row r="1726" spans="1:10" hidden="1">
      <c r="A1726" s="1558"/>
      <c r="B1726" s="425"/>
      <c r="C1726" s="578"/>
      <c r="D1726" s="578"/>
      <c r="E1726" s="580"/>
      <c r="F1726" s="69"/>
      <c r="G1726" s="69"/>
      <c r="H1726" s="178">
        <f t="shared" si="52"/>
        <v>0</v>
      </c>
      <c r="I1726" s="178">
        <f t="shared" si="53"/>
        <v>0</v>
      </c>
      <c r="J1726" s="109"/>
    </row>
    <row r="1727" spans="1:10" hidden="1">
      <c r="A1727" s="1558"/>
      <c r="B1727" s="425"/>
      <c r="C1727" s="578"/>
      <c r="D1727" s="578"/>
      <c r="E1727" s="580"/>
      <c r="F1727" s="69"/>
      <c r="G1727" s="69"/>
      <c r="H1727" s="178">
        <f t="shared" si="52"/>
        <v>0</v>
      </c>
      <c r="I1727" s="178">
        <f t="shared" si="53"/>
        <v>0</v>
      </c>
      <c r="J1727" s="109"/>
    </row>
    <row r="1728" spans="1:10" hidden="1">
      <c r="A1728" s="1558"/>
      <c r="B1728" s="425"/>
      <c r="C1728" s="578"/>
      <c r="D1728" s="578"/>
      <c r="E1728" s="580"/>
      <c r="F1728" s="69"/>
      <c r="G1728" s="69"/>
      <c r="H1728" s="178">
        <f t="shared" si="52"/>
        <v>0</v>
      </c>
      <c r="I1728" s="178">
        <f t="shared" si="53"/>
        <v>0</v>
      </c>
      <c r="J1728" s="109"/>
    </row>
    <row r="1729" spans="1:10" hidden="1">
      <c r="A1729" s="1558"/>
      <c r="B1729" s="425"/>
      <c r="C1729" s="578"/>
      <c r="D1729" s="578"/>
      <c r="E1729" s="580"/>
      <c r="F1729" s="69"/>
      <c r="G1729" s="69"/>
      <c r="H1729" s="178">
        <f t="shared" si="52"/>
        <v>0</v>
      </c>
      <c r="I1729" s="178">
        <f t="shared" si="53"/>
        <v>0</v>
      </c>
      <c r="J1729" s="109"/>
    </row>
    <row r="1730" spans="1:10" hidden="1">
      <c r="A1730" s="1558"/>
      <c r="B1730" s="425"/>
      <c r="C1730" s="578"/>
      <c r="D1730" s="578"/>
      <c r="E1730" s="580"/>
      <c r="F1730" s="69"/>
      <c r="G1730" s="69"/>
      <c r="H1730" s="178">
        <f t="shared" si="52"/>
        <v>0</v>
      </c>
      <c r="I1730" s="178">
        <f t="shared" si="53"/>
        <v>0</v>
      </c>
      <c r="J1730" s="109"/>
    </row>
    <row r="1731" spans="1:10" hidden="1">
      <c r="A1731" s="1558"/>
      <c r="B1731" s="425"/>
      <c r="C1731" s="578"/>
      <c r="D1731" s="578"/>
      <c r="E1731" s="580"/>
      <c r="F1731" s="69"/>
      <c r="G1731" s="69"/>
      <c r="H1731" s="178">
        <f t="shared" si="52"/>
        <v>0</v>
      </c>
      <c r="I1731" s="178">
        <f t="shared" si="53"/>
        <v>0</v>
      </c>
      <c r="J1731" s="109"/>
    </row>
    <row r="1732" spans="1:10" hidden="1">
      <c r="A1732" s="1558"/>
      <c r="B1732" s="425"/>
      <c r="C1732" s="578"/>
      <c r="D1732" s="578"/>
      <c r="E1732" s="580"/>
      <c r="F1732" s="69"/>
      <c r="G1732" s="69"/>
      <c r="H1732" s="178">
        <f t="shared" si="52"/>
        <v>0</v>
      </c>
      <c r="I1732" s="178">
        <f t="shared" si="53"/>
        <v>0</v>
      </c>
      <c r="J1732" s="109"/>
    </row>
    <row r="1733" spans="1:10" hidden="1">
      <c r="A1733" s="1558"/>
      <c r="B1733" s="425"/>
      <c r="C1733" s="578"/>
      <c r="D1733" s="578"/>
      <c r="E1733" s="580"/>
      <c r="F1733" s="69"/>
      <c r="G1733" s="69"/>
      <c r="H1733" s="178">
        <f t="shared" si="52"/>
        <v>0</v>
      </c>
      <c r="I1733" s="178">
        <f t="shared" si="53"/>
        <v>0</v>
      </c>
      <c r="J1733" s="109"/>
    </row>
    <row r="1734" spans="1:10" hidden="1">
      <c r="A1734" s="1558"/>
      <c r="B1734" s="425"/>
      <c r="C1734" s="578"/>
      <c r="D1734" s="578"/>
      <c r="E1734" s="580"/>
      <c r="F1734" s="69"/>
      <c r="G1734" s="69"/>
      <c r="H1734" s="178">
        <f t="shared" si="52"/>
        <v>0</v>
      </c>
      <c r="I1734" s="178">
        <f t="shared" si="53"/>
        <v>0</v>
      </c>
      <c r="J1734" s="109"/>
    </row>
    <row r="1735" spans="1:10" hidden="1">
      <c r="A1735" s="1558"/>
      <c r="B1735" s="425"/>
      <c r="C1735" s="561"/>
      <c r="D1735" s="493"/>
      <c r="E1735" s="493"/>
      <c r="F1735" s="69"/>
      <c r="G1735" s="69"/>
      <c r="H1735" s="178">
        <f t="shared" si="52"/>
        <v>0</v>
      </c>
      <c r="I1735" s="178">
        <f t="shared" si="53"/>
        <v>0</v>
      </c>
      <c r="J1735" s="109"/>
    </row>
    <row r="1736" spans="1:10" hidden="1">
      <c r="A1736" s="1558"/>
      <c r="B1736" s="425"/>
      <c r="C1736" s="578"/>
      <c r="D1736" s="578"/>
      <c r="E1736" s="580"/>
      <c r="F1736" s="69"/>
      <c r="G1736" s="69"/>
      <c r="H1736" s="178">
        <f t="shared" si="52"/>
        <v>0</v>
      </c>
      <c r="I1736" s="178">
        <f t="shared" si="53"/>
        <v>0</v>
      </c>
      <c r="J1736" s="109"/>
    </row>
    <row r="1737" spans="1:10" hidden="1">
      <c r="A1737" s="1558"/>
      <c r="B1737" s="425"/>
      <c r="C1737" s="578"/>
      <c r="D1737" s="578"/>
      <c r="E1737" s="580"/>
      <c r="F1737" s="69"/>
      <c r="G1737" s="69"/>
      <c r="H1737" s="178">
        <f t="shared" ref="H1737:H1800" si="54">E1737+D1737-C1737</f>
        <v>0</v>
      </c>
      <c r="I1737" s="178">
        <f t="shared" ref="I1737:I1800" si="55">SUM(C1737:E1737)</f>
        <v>0</v>
      </c>
      <c r="J1737" s="109"/>
    </row>
    <row r="1738" spans="1:10" hidden="1">
      <c r="A1738" s="1558"/>
      <c r="B1738" s="425"/>
      <c r="C1738" s="578"/>
      <c r="D1738" s="578"/>
      <c r="E1738" s="580"/>
      <c r="F1738" s="69"/>
      <c r="G1738" s="69"/>
      <c r="H1738" s="178">
        <f t="shared" si="54"/>
        <v>0</v>
      </c>
      <c r="I1738" s="178">
        <f t="shared" si="55"/>
        <v>0</v>
      </c>
      <c r="J1738" s="109"/>
    </row>
    <row r="1739" spans="1:10" hidden="1">
      <c r="A1739" s="1558"/>
      <c r="B1739" s="425"/>
      <c r="C1739" s="578"/>
      <c r="D1739" s="578"/>
      <c r="E1739" s="580"/>
      <c r="F1739" s="69"/>
      <c r="G1739" s="69"/>
      <c r="H1739" s="178">
        <f t="shared" si="54"/>
        <v>0</v>
      </c>
      <c r="I1739" s="178">
        <f t="shared" si="55"/>
        <v>0</v>
      </c>
      <c r="J1739" s="109"/>
    </row>
    <row r="1740" spans="1:10" hidden="1">
      <c r="A1740" s="1558"/>
      <c r="B1740" s="425"/>
      <c r="C1740" s="578"/>
      <c r="D1740" s="578"/>
      <c r="E1740" s="580"/>
      <c r="F1740" s="69"/>
      <c r="G1740" s="69"/>
      <c r="H1740" s="178">
        <f t="shared" si="54"/>
        <v>0</v>
      </c>
      <c r="I1740" s="178">
        <f t="shared" si="55"/>
        <v>0</v>
      </c>
      <c r="J1740" s="109"/>
    </row>
    <row r="1741" spans="1:10" hidden="1">
      <c r="A1741" s="1558"/>
      <c r="B1741" s="425"/>
      <c r="C1741" s="578"/>
      <c r="D1741" s="578"/>
      <c r="E1741" s="580"/>
      <c r="F1741" s="69"/>
      <c r="G1741" s="69"/>
      <c r="H1741" s="178">
        <f t="shared" si="54"/>
        <v>0</v>
      </c>
      <c r="I1741" s="178">
        <f t="shared" si="55"/>
        <v>0</v>
      </c>
      <c r="J1741" s="109"/>
    </row>
    <row r="1742" spans="1:10" hidden="1">
      <c r="A1742" s="1558"/>
      <c r="B1742" s="425"/>
      <c r="C1742" s="578"/>
      <c r="D1742" s="578"/>
      <c r="E1742" s="580"/>
      <c r="F1742" s="69"/>
      <c r="G1742" s="69"/>
      <c r="H1742" s="178">
        <f t="shared" si="54"/>
        <v>0</v>
      </c>
      <c r="I1742" s="178">
        <f t="shared" si="55"/>
        <v>0</v>
      </c>
      <c r="J1742" s="109"/>
    </row>
    <row r="1743" spans="1:10" hidden="1">
      <c r="A1743" s="1558"/>
      <c r="B1743" s="425"/>
      <c r="C1743" s="578"/>
      <c r="D1743" s="578"/>
      <c r="E1743" s="580"/>
      <c r="F1743" s="69"/>
      <c r="G1743" s="69"/>
      <c r="H1743" s="178">
        <f t="shared" si="54"/>
        <v>0</v>
      </c>
      <c r="I1743" s="178">
        <f t="shared" si="55"/>
        <v>0</v>
      </c>
      <c r="J1743" s="109"/>
    </row>
    <row r="1744" spans="1:10" hidden="1">
      <c r="A1744" s="1558"/>
      <c r="B1744" s="425"/>
      <c r="C1744" s="578"/>
      <c r="D1744" s="578"/>
      <c r="E1744" s="580"/>
      <c r="F1744" s="69"/>
      <c r="G1744" s="69"/>
      <c r="H1744" s="178">
        <f t="shared" si="54"/>
        <v>0</v>
      </c>
      <c r="I1744" s="178">
        <f t="shared" si="55"/>
        <v>0</v>
      </c>
      <c r="J1744" s="109"/>
    </row>
    <row r="1745" spans="1:11" hidden="1">
      <c r="A1745" s="1558"/>
      <c r="B1745" s="425"/>
      <c r="C1745" s="578"/>
      <c r="D1745" s="578"/>
      <c r="E1745" s="580"/>
      <c r="F1745" s="69"/>
      <c r="G1745" s="69"/>
      <c r="H1745" s="178">
        <f t="shared" si="54"/>
        <v>0</v>
      </c>
      <c r="I1745" s="178">
        <f t="shared" si="55"/>
        <v>0</v>
      </c>
      <c r="J1745" s="109"/>
    </row>
    <row r="1746" spans="1:11" hidden="1">
      <c r="A1746" s="1558"/>
      <c r="B1746" s="425"/>
      <c r="C1746" s="578"/>
      <c r="D1746" s="578"/>
      <c r="E1746" s="580"/>
      <c r="F1746" s="69"/>
      <c r="G1746" s="69"/>
      <c r="H1746" s="178">
        <f t="shared" si="54"/>
        <v>0</v>
      </c>
      <c r="I1746" s="178">
        <f t="shared" si="55"/>
        <v>0</v>
      </c>
      <c r="J1746" s="109"/>
    </row>
    <row r="1747" spans="1:11" hidden="1">
      <c r="A1747" s="1558"/>
      <c r="B1747" s="425"/>
      <c r="C1747" s="578"/>
      <c r="D1747" s="578"/>
      <c r="E1747" s="580"/>
      <c r="F1747" s="69"/>
      <c r="G1747" s="69"/>
      <c r="H1747" s="178">
        <f t="shared" si="54"/>
        <v>0</v>
      </c>
      <c r="I1747" s="178">
        <f t="shared" si="55"/>
        <v>0</v>
      </c>
      <c r="J1747" s="109"/>
    </row>
    <row r="1748" spans="1:11" hidden="1">
      <c r="A1748" s="1558"/>
      <c r="B1748" s="425"/>
      <c r="C1748" s="561"/>
      <c r="D1748" s="577"/>
      <c r="E1748" s="577"/>
      <c r="F1748" s="69"/>
      <c r="G1748" s="69"/>
      <c r="H1748" s="178">
        <f t="shared" si="54"/>
        <v>0</v>
      </c>
      <c r="I1748" s="178">
        <f t="shared" si="55"/>
        <v>0</v>
      </c>
      <c r="J1748" s="109"/>
    </row>
    <row r="1749" spans="1:11" ht="28.9" hidden="1" customHeight="1">
      <c r="A1749" s="1558"/>
      <c r="B1749" s="209" t="s">
        <v>985</v>
      </c>
      <c r="C1749" s="581">
        <f>SUM(C1702:C1748)</f>
        <v>0</v>
      </c>
      <c r="D1749" s="581">
        <f>SUM(D1702:D1748)</f>
        <v>0</v>
      </c>
      <c r="E1749" s="581">
        <f>SUM(E1702:E1748)</f>
        <v>0</v>
      </c>
      <c r="F1749" s="115">
        <f>SUM(F1702:F1748)</f>
        <v>0</v>
      </c>
      <c r="G1749" s="115">
        <f>SUM(G1702:G1748)</f>
        <v>0</v>
      </c>
      <c r="H1749" s="178">
        <f t="shared" si="54"/>
        <v>0</v>
      </c>
      <c r="I1749" s="178">
        <f t="shared" si="55"/>
        <v>0</v>
      </c>
      <c r="J1749" s="109"/>
    </row>
    <row r="1750" spans="1:11" s="109" customFormat="1" ht="75">
      <c r="A1750" s="1553" t="s">
        <v>1099</v>
      </c>
      <c r="B1750" s="1378" t="s">
        <v>2035</v>
      </c>
      <c r="C1750" s="1379">
        <v>56000</v>
      </c>
      <c r="D1750" s="1379"/>
      <c r="E1750" s="1380">
        <v>56000</v>
      </c>
      <c r="F1750" s="1381"/>
      <c r="G1750" s="1381"/>
      <c r="H1750" s="1436">
        <f t="shared" si="54"/>
        <v>0</v>
      </c>
      <c r="I1750" s="1436">
        <f t="shared" si="55"/>
        <v>112000</v>
      </c>
      <c r="J1750" s="1439"/>
      <c r="K1750" s="1439"/>
    </row>
    <row r="1751" spans="1:11" hidden="1">
      <c r="A1751" s="1554"/>
      <c r="B1751" s="541"/>
      <c r="C1751" s="583"/>
      <c r="D1751" s="583"/>
      <c r="E1751" s="583"/>
      <c r="F1751" s="247"/>
      <c r="G1751" s="247"/>
      <c r="H1751" s="178">
        <f t="shared" si="54"/>
        <v>0</v>
      </c>
      <c r="I1751" s="178">
        <f t="shared" si="55"/>
        <v>0</v>
      </c>
      <c r="J1751" s="109"/>
    </row>
    <row r="1752" spans="1:11" s="411" customFormat="1" hidden="1">
      <c r="A1752" s="1554"/>
      <c r="B1752" s="541"/>
      <c r="C1752" s="582"/>
      <c r="D1752" s="582"/>
      <c r="E1752" s="582"/>
      <c r="F1752" s="410"/>
      <c r="G1752" s="410"/>
      <c r="H1752" s="178">
        <f t="shared" si="54"/>
        <v>0</v>
      </c>
      <c r="I1752" s="178">
        <f t="shared" si="55"/>
        <v>0</v>
      </c>
      <c r="J1752" s="109"/>
    </row>
    <row r="1753" spans="1:11" hidden="1">
      <c r="A1753" s="1554"/>
      <c r="B1753" s="541"/>
      <c r="C1753" s="582"/>
      <c r="D1753" s="582"/>
      <c r="E1753" s="582"/>
      <c r="F1753" s="69"/>
      <c r="G1753" s="69"/>
      <c r="H1753" s="178">
        <f t="shared" si="54"/>
        <v>0</v>
      </c>
      <c r="I1753" s="178">
        <f t="shared" si="55"/>
        <v>0</v>
      </c>
      <c r="J1753" s="109"/>
    </row>
    <row r="1754" spans="1:11" hidden="1">
      <c r="A1754" s="1554"/>
      <c r="B1754" s="425"/>
      <c r="C1754" s="493"/>
      <c r="D1754" s="493"/>
      <c r="E1754" s="493"/>
      <c r="F1754" s="69"/>
      <c r="G1754" s="69"/>
      <c r="H1754" s="178">
        <f t="shared" si="54"/>
        <v>0</v>
      </c>
      <c r="I1754" s="178">
        <f t="shared" si="55"/>
        <v>0</v>
      </c>
      <c r="J1754" s="109"/>
    </row>
    <row r="1755" spans="1:11" hidden="1">
      <c r="A1755" s="1554"/>
      <c r="B1755" s="425"/>
      <c r="C1755" s="561"/>
      <c r="D1755" s="561"/>
      <c r="E1755" s="493"/>
      <c r="F1755" s="69"/>
      <c r="G1755" s="69"/>
      <c r="H1755" s="178">
        <f t="shared" si="54"/>
        <v>0</v>
      </c>
      <c r="I1755" s="178">
        <f t="shared" si="55"/>
        <v>0</v>
      </c>
      <c r="J1755" s="109"/>
    </row>
    <row r="1756" spans="1:11" hidden="1">
      <c r="A1756" s="1554"/>
      <c r="B1756" s="425"/>
      <c r="C1756" s="561"/>
      <c r="D1756" s="561"/>
      <c r="E1756" s="493"/>
      <c r="F1756" s="69"/>
      <c r="G1756" s="69"/>
      <c r="H1756" s="178">
        <f t="shared" si="54"/>
        <v>0</v>
      </c>
      <c r="I1756" s="178">
        <f t="shared" si="55"/>
        <v>0</v>
      </c>
      <c r="J1756" s="109"/>
    </row>
    <row r="1757" spans="1:11" hidden="1">
      <c r="A1757" s="1554"/>
      <c r="B1757" s="425"/>
      <c r="C1757" s="561"/>
      <c r="D1757" s="561"/>
      <c r="E1757" s="493"/>
      <c r="F1757" s="69"/>
      <c r="G1757" s="69"/>
      <c r="H1757" s="178">
        <f t="shared" si="54"/>
        <v>0</v>
      </c>
      <c r="I1757" s="178">
        <f t="shared" si="55"/>
        <v>0</v>
      </c>
      <c r="J1757" s="109"/>
    </row>
    <row r="1758" spans="1:11" hidden="1">
      <c r="A1758" s="1554"/>
      <c r="B1758" s="425"/>
      <c r="C1758" s="493"/>
      <c r="D1758" s="493"/>
      <c r="E1758" s="493"/>
      <c r="F1758" s="69"/>
      <c r="G1758" s="69"/>
      <c r="H1758" s="178">
        <f t="shared" si="54"/>
        <v>0</v>
      </c>
      <c r="I1758" s="178">
        <f t="shared" si="55"/>
        <v>0</v>
      </c>
      <c r="J1758" s="109"/>
    </row>
    <row r="1759" spans="1:11" hidden="1">
      <c r="A1759" s="1554"/>
      <c r="B1759" s="425"/>
      <c r="C1759" s="561"/>
      <c r="D1759" s="561"/>
      <c r="E1759" s="493"/>
      <c r="F1759" s="69"/>
      <c r="G1759" s="69"/>
      <c r="H1759" s="178">
        <f t="shared" si="54"/>
        <v>0</v>
      </c>
      <c r="I1759" s="178">
        <f t="shared" si="55"/>
        <v>0</v>
      </c>
      <c r="J1759" s="109"/>
    </row>
    <row r="1760" spans="1:11" hidden="1">
      <c r="A1760" s="1554"/>
      <c r="B1760" s="425"/>
      <c r="C1760" s="561"/>
      <c r="D1760" s="561"/>
      <c r="E1760" s="493"/>
      <c r="F1760" s="69"/>
      <c r="G1760" s="69"/>
      <c r="H1760" s="178">
        <f t="shared" si="54"/>
        <v>0</v>
      </c>
      <c r="I1760" s="178">
        <f t="shared" si="55"/>
        <v>0</v>
      </c>
      <c r="J1760" s="109"/>
    </row>
    <row r="1761" spans="1:10" hidden="1">
      <c r="A1761" s="1554"/>
      <c r="B1761" s="425"/>
      <c r="C1761" s="561"/>
      <c r="D1761" s="561"/>
      <c r="E1761" s="493"/>
      <c r="F1761" s="69"/>
      <c r="G1761" s="69"/>
      <c r="H1761" s="178">
        <f t="shared" si="54"/>
        <v>0</v>
      </c>
      <c r="I1761" s="178">
        <f t="shared" si="55"/>
        <v>0</v>
      </c>
      <c r="J1761" s="109"/>
    </row>
    <row r="1762" spans="1:10" hidden="1">
      <c r="A1762" s="1554"/>
      <c r="B1762" s="425"/>
      <c r="C1762" s="561"/>
      <c r="D1762" s="561"/>
      <c r="E1762" s="493"/>
      <c r="F1762" s="69"/>
      <c r="G1762" s="69"/>
      <c r="H1762" s="178">
        <f t="shared" si="54"/>
        <v>0</v>
      </c>
      <c r="I1762" s="178">
        <f t="shared" si="55"/>
        <v>0</v>
      </c>
      <c r="J1762" s="109"/>
    </row>
    <row r="1763" spans="1:10" hidden="1">
      <c r="A1763" s="1554"/>
      <c r="B1763" s="425"/>
      <c r="C1763" s="561"/>
      <c r="D1763" s="493"/>
      <c r="E1763" s="493"/>
      <c r="F1763" s="69"/>
      <c r="G1763" s="69"/>
      <c r="H1763" s="178">
        <f t="shared" si="54"/>
        <v>0</v>
      </c>
      <c r="I1763" s="178">
        <f t="shared" si="55"/>
        <v>0</v>
      </c>
      <c r="J1763" s="109"/>
    </row>
    <row r="1764" spans="1:10" hidden="1">
      <c r="A1764" s="1554"/>
      <c r="B1764" s="425"/>
      <c r="C1764" s="561"/>
      <c r="D1764" s="561"/>
      <c r="E1764" s="577"/>
      <c r="F1764" s="69"/>
      <c r="G1764" s="69"/>
      <c r="H1764" s="178">
        <f t="shared" si="54"/>
        <v>0</v>
      </c>
      <c r="I1764" s="178">
        <f t="shared" si="55"/>
        <v>0</v>
      </c>
      <c r="J1764" s="109"/>
    </row>
    <row r="1765" spans="1:10" hidden="1">
      <c r="A1765" s="1554"/>
      <c r="B1765" s="427"/>
      <c r="C1765" s="579"/>
      <c r="D1765" s="579"/>
      <c r="E1765" s="579"/>
      <c r="F1765" s="69"/>
      <c r="G1765" s="69"/>
      <c r="H1765" s="178">
        <f t="shared" si="54"/>
        <v>0</v>
      </c>
      <c r="I1765" s="178">
        <f t="shared" si="55"/>
        <v>0</v>
      </c>
      <c r="J1765" s="109"/>
    </row>
    <row r="1766" spans="1:10" hidden="1">
      <c r="A1766" s="1554"/>
      <c r="B1766" s="427"/>
      <c r="C1766" s="579"/>
      <c r="D1766" s="579"/>
      <c r="E1766" s="579"/>
      <c r="F1766" s="69"/>
      <c r="G1766" s="69"/>
      <c r="H1766" s="178">
        <f t="shared" si="54"/>
        <v>0</v>
      </c>
      <c r="I1766" s="178">
        <f t="shared" si="55"/>
        <v>0</v>
      </c>
      <c r="J1766" s="109"/>
    </row>
    <row r="1767" spans="1:10" hidden="1">
      <c r="A1767" s="1554"/>
      <c r="B1767" s="427"/>
      <c r="C1767" s="579"/>
      <c r="D1767" s="579"/>
      <c r="E1767" s="579"/>
      <c r="F1767" s="69"/>
      <c r="G1767" s="69"/>
      <c r="H1767" s="178">
        <f t="shared" si="54"/>
        <v>0</v>
      </c>
      <c r="I1767" s="178">
        <f t="shared" si="55"/>
        <v>0</v>
      </c>
      <c r="J1767" s="109"/>
    </row>
    <row r="1768" spans="1:10" hidden="1">
      <c r="A1768" s="1554"/>
      <c r="B1768" s="427"/>
      <c r="C1768" s="579"/>
      <c r="D1768" s="579"/>
      <c r="E1768" s="579"/>
      <c r="F1768" s="69"/>
      <c r="G1768" s="69"/>
      <c r="H1768" s="178">
        <f t="shared" si="54"/>
        <v>0</v>
      </c>
      <c r="I1768" s="178">
        <f t="shared" si="55"/>
        <v>0</v>
      </c>
      <c r="J1768" s="109"/>
    </row>
    <row r="1769" spans="1:10" hidden="1">
      <c r="A1769" s="1554"/>
      <c r="B1769" s="427"/>
      <c r="C1769" s="579"/>
      <c r="D1769" s="579"/>
      <c r="E1769" s="579"/>
      <c r="F1769" s="69"/>
      <c r="G1769" s="69"/>
      <c r="H1769" s="178">
        <f t="shared" si="54"/>
        <v>0</v>
      </c>
      <c r="I1769" s="178">
        <f t="shared" si="55"/>
        <v>0</v>
      </c>
      <c r="J1769" s="109"/>
    </row>
    <row r="1770" spans="1:10" hidden="1">
      <c r="A1770" s="1554"/>
      <c r="B1770" s="427"/>
      <c r="C1770" s="579"/>
      <c r="D1770" s="579"/>
      <c r="E1770" s="579"/>
      <c r="F1770" s="69"/>
      <c r="G1770" s="69"/>
      <c r="H1770" s="178">
        <f t="shared" si="54"/>
        <v>0</v>
      </c>
      <c r="I1770" s="178">
        <f t="shared" si="55"/>
        <v>0</v>
      </c>
      <c r="J1770" s="109"/>
    </row>
    <row r="1771" spans="1:10" hidden="1">
      <c r="A1771" s="1554"/>
      <c r="B1771" s="427"/>
      <c r="C1771" s="578"/>
      <c r="D1771" s="578"/>
      <c r="E1771" s="579"/>
      <c r="F1771" s="69"/>
      <c r="G1771" s="69"/>
      <c r="H1771" s="178">
        <f t="shared" si="54"/>
        <v>0</v>
      </c>
      <c r="I1771" s="178">
        <f t="shared" si="55"/>
        <v>0</v>
      </c>
      <c r="J1771" s="109"/>
    </row>
    <row r="1772" spans="1:10" hidden="1">
      <c r="A1772" s="1554"/>
      <c r="B1772" s="427"/>
      <c r="C1772" s="578"/>
      <c r="D1772" s="578"/>
      <c r="E1772" s="579"/>
      <c r="F1772" s="69"/>
      <c r="G1772" s="69"/>
      <c r="H1772" s="178">
        <f t="shared" si="54"/>
        <v>0</v>
      </c>
      <c r="I1772" s="178">
        <f t="shared" si="55"/>
        <v>0</v>
      </c>
      <c r="J1772" s="109"/>
    </row>
    <row r="1773" spans="1:10" hidden="1">
      <c r="A1773" s="1554"/>
      <c r="B1773" s="427"/>
      <c r="C1773" s="578"/>
      <c r="D1773" s="578"/>
      <c r="E1773" s="579"/>
      <c r="F1773" s="69"/>
      <c r="G1773" s="69"/>
      <c r="H1773" s="178">
        <f t="shared" si="54"/>
        <v>0</v>
      </c>
      <c r="I1773" s="178">
        <f t="shared" si="55"/>
        <v>0</v>
      </c>
      <c r="J1773" s="109"/>
    </row>
    <row r="1774" spans="1:10" hidden="1">
      <c r="A1774" s="1554"/>
      <c r="B1774" s="425"/>
      <c r="C1774" s="578"/>
      <c r="D1774" s="578"/>
      <c r="E1774" s="580"/>
      <c r="F1774" s="69"/>
      <c r="G1774" s="69"/>
      <c r="H1774" s="178">
        <f t="shared" si="54"/>
        <v>0</v>
      </c>
      <c r="I1774" s="178">
        <f t="shared" si="55"/>
        <v>0</v>
      </c>
      <c r="J1774" s="109"/>
    </row>
    <row r="1775" spans="1:10" hidden="1">
      <c r="A1775" s="1554"/>
      <c r="B1775" s="425"/>
      <c r="C1775" s="578"/>
      <c r="D1775" s="578"/>
      <c r="E1775" s="580"/>
      <c r="F1775" s="69"/>
      <c r="G1775" s="69"/>
      <c r="H1775" s="178">
        <f t="shared" si="54"/>
        <v>0</v>
      </c>
      <c r="I1775" s="178">
        <f t="shared" si="55"/>
        <v>0</v>
      </c>
      <c r="J1775" s="109"/>
    </row>
    <row r="1776" spans="1:10" hidden="1">
      <c r="A1776" s="1554"/>
      <c r="B1776" s="425"/>
      <c r="C1776" s="578"/>
      <c r="D1776" s="578"/>
      <c r="E1776" s="580"/>
      <c r="F1776" s="69"/>
      <c r="G1776" s="69"/>
      <c r="H1776" s="178">
        <f t="shared" si="54"/>
        <v>0</v>
      </c>
      <c r="I1776" s="178">
        <f t="shared" si="55"/>
        <v>0</v>
      </c>
      <c r="J1776" s="109"/>
    </row>
    <row r="1777" spans="1:10" hidden="1">
      <c r="A1777" s="1554"/>
      <c r="B1777" s="425"/>
      <c r="C1777" s="578"/>
      <c r="D1777" s="578"/>
      <c r="E1777" s="580"/>
      <c r="F1777" s="69"/>
      <c r="G1777" s="69"/>
      <c r="H1777" s="178">
        <f t="shared" si="54"/>
        <v>0</v>
      </c>
      <c r="I1777" s="178">
        <f t="shared" si="55"/>
        <v>0</v>
      </c>
      <c r="J1777" s="109"/>
    </row>
    <row r="1778" spans="1:10" hidden="1">
      <c r="A1778" s="1554"/>
      <c r="B1778" s="425"/>
      <c r="C1778" s="578"/>
      <c r="D1778" s="578"/>
      <c r="E1778" s="580"/>
      <c r="F1778" s="69"/>
      <c r="G1778" s="69"/>
      <c r="H1778" s="178">
        <f t="shared" si="54"/>
        <v>0</v>
      </c>
      <c r="I1778" s="178">
        <f t="shared" si="55"/>
        <v>0</v>
      </c>
      <c r="J1778" s="109"/>
    </row>
    <row r="1779" spans="1:10" hidden="1">
      <c r="A1779" s="1554"/>
      <c r="B1779" s="425"/>
      <c r="C1779" s="578"/>
      <c r="D1779" s="578"/>
      <c r="E1779" s="580"/>
      <c r="F1779" s="69"/>
      <c r="G1779" s="69"/>
      <c r="H1779" s="178">
        <f t="shared" si="54"/>
        <v>0</v>
      </c>
      <c r="I1779" s="178">
        <f t="shared" si="55"/>
        <v>0</v>
      </c>
      <c r="J1779" s="109"/>
    </row>
    <row r="1780" spans="1:10" hidden="1">
      <c r="A1780" s="1554"/>
      <c r="B1780" s="425"/>
      <c r="C1780" s="578"/>
      <c r="D1780" s="578"/>
      <c r="E1780" s="580"/>
      <c r="F1780" s="69"/>
      <c r="G1780" s="69"/>
      <c r="H1780" s="178">
        <f t="shared" si="54"/>
        <v>0</v>
      </c>
      <c r="I1780" s="178">
        <f t="shared" si="55"/>
        <v>0</v>
      </c>
      <c r="J1780" s="109"/>
    </row>
    <row r="1781" spans="1:10" hidden="1">
      <c r="A1781" s="1554"/>
      <c r="B1781" s="425"/>
      <c r="C1781" s="578"/>
      <c r="D1781" s="578"/>
      <c r="E1781" s="580"/>
      <c r="F1781" s="69"/>
      <c r="G1781" s="69"/>
      <c r="H1781" s="178">
        <f t="shared" si="54"/>
        <v>0</v>
      </c>
      <c r="I1781" s="178">
        <f t="shared" si="55"/>
        <v>0</v>
      </c>
      <c r="J1781" s="109"/>
    </row>
    <row r="1782" spans="1:10" hidden="1">
      <c r="A1782" s="1554"/>
      <c r="B1782" s="425"/>
      <c r="C1782" s="578"/>
      <c r="D1782" s="578"/>
      <c r="E1782" s="580"/>
      <c r="F1782" s="69"/>
      <c r="G1782" s="69"/>
      <c r="H1782" s="178">
        <f t="shared" si="54"/>
        <v>0</v>
      </c>
      <c r="I1782" s="178">
        <f t="shared" si="55"/>
        <v>0</v>
      </c>
      <c r="J1782" s="109"/>
    </row>
    <row r="1783" spans="1:10" hidden="1">
      <c r="A1783" s="1554"/>
      <c r="B1783" s="425"/>
      <c r="C1783" s="561"/>
      <c r="D1783" s="493"/>
      <c r="E1783" s="493"/>
      <c r="F1783" s="69"/>
      <c r="G1783" s="69"/>
      <c r="H1783" s="178">
        <f t="shared" si="54"/>
        <v>0</v>
      </c>
      <c r="I1783" s="178">
        <f t="shared" si="55"/>
        <v>0</v>
      </c>
      <c r="J1783" s="109"/>
    </row>
    <row r="1784" spans="1:10" hidden="1">
      <c r="A1784" s="1554"/>
      <c r="B1784" s="425"/>
      <c r="C1784" s="578"/>
      <c r="D1784" s="578"/>
      <c r="E1784" s="580"/>
      <c r="F1784" s="69"/>
      <c r="G1784" s="69"/>
      <c r="H1784" s="178">
        <f t="shared" si="54"/>
        <v>0</v>
      </c>
      <c r="I1784" s="178">
        <f t="shared" si="55"/>
        <v>0</v>
      </c>
      <c r="J1784" s="109"/>
    </row>
    <row r="1785" spans="1:10" hidden="1">
      <c r="A1785" s="1554"/>
      <c r="B1785" s="425"/>
      <c r="C1785" s="578"/>
      <c r="D1785" s="578"/>
      <c r="E1785" s="580"/>
      <c r="F1785" s="69"/>
      <c r="G1785" s="69"/>
      <c r="H1785" s="178">
        <f t="shared" si="54"/>
        <v>0</v>
      </c>
      <c r="I1785" s="178">
        <f t="shared" si="55"/>
        <v>0</v>
      </c>
      <c r="J1785" s="109"/>
    </row>
    <row r="1786" spans="1:10" hidden="1">
      <c r="A1786" s="1554"/>
      <c r="B1786" s="425"/>
      <c r="C1786" s="578"/>
      <c r="D1786" s="578"/>
      <c r="E1786" s="580"/>
      <c r="F1786" s="69"/>
      <c r="G1786" s="69"/>
      <c r="H1786" s="178">
        <f t="shared" si="54"/>
        <v>0</v>
      </c>
      <c r="I1786" s="178">
        <f t="shared" si="55"/>
        <v>0</v>
      </c>
      <c r="J1786" s="109"/>
    </row>
    <row r="1787" spans="1:10" hidden="1">
      <c r="A1787" s="1554"/>
      <c r="B1787" s="425"/>
      <c r="C1787" s="578"/>
      <c r="D1787" s="578"/>
      <c r="E1787" s="580"/>
      <c r="F1787" s="69"/>
      <c r="G1787" s="69"/>
      <c r="H1787" s="178">
        <f t="shared" si="54"/>
        <v>0</v>
      </c>
      <c r="I1787" s="178">
        <f t="shared" si="55"/>
        <v>0</v>
      </c>
      <c r="J1787" s="109"/>
    </row>
    <row r="1788" spans="1:10" hidden="1">
      <c r="A1788" s="1554"/>
      <c r="B1788" s="425"/>
      <c r="C1788" s="578"/>
      <c r="D1788" s="578"/>
      <c r="E1788" s="580"/>
      <c r="F1788" s="69"/>
      <c r="G1788" s="69"/>
      <c r="H1788" s="178">
        <f t="shared" si="54"/>
        <v>0</v>
      </c>
      <c r="I1788" s="178">
        <f t="shared" si="55"/>
        <v>0</v>
      </c>
      <c r="J1788" s="109"/>
    </row>
    <row r="1789" spans="1:10" hidden="1">
      <c r="A1789" s="1554"/>
      <c r="B1789" s="425"/>
      <c r="C1789" s="578"/>
      <c r="D1789" s="578"/>
      <c r="E1789" s="580"/>
      <c r="F1789" s="69"/>
      <c r="G1789" s="69"/>
      <c r="H1789" s="178">
        <f t="shared" si="54"/>
        <v>0</v>
      </c>
      <c r="I1789" s="178">
        <f t="shared" si="55"/>
        <v>0</v>
      </c>
      <c r="J1789" s="109"/>
    </row>
    <row r="1790" spans="1:10" hidden="1">
      <c r="A1790" s="1554"/>
      <c r="B1790" s="425"/>
      <c r="C1790" s="578"/>
      <c r="D1790" s="578"/>
      <c r="E1790" s="580"/>
      <c r="F1790" s="69"/>
      <c r="G1790" s="69"/>
      <c r="H1790" s="178">
        <f t="shared" si="54"/>
        <v>0</v>
      </c>
      <c r="I1790" s="178">
        <f t="shared" si="55"/>
        <v>0</v>
      </c>
      <c r="J1790" s="109"/>
    </row>
    <row r="1791" spans="1:10" hidden="1">
      <c r="A1791" s="1554"/>
      <c r="B1791" s="425"/>
      <c r="C1791" s="578"/>
      <c r="D1791" s="578"/>
      <c r="E1791" s="580"/>
      <c r="F1791" s="69"/>
      <c r="G1791" s="69"/>
      <c r="H1791" s="178">
        <f t="shared" si="54"/>
        <v>0</v>
      </c>
      <c r="I1791" s="178">
        <f t="shared" si="55"/>
        <v>0</v>
      </c>
      <c r="J1791" s="109"/>
    </row>
    <row r="1792" spans="1:10" hidden="1">
      <c r="A1792" s="1554"/>
      <c r="B1792" s="425"/>
      <c r="C1792" s="578"/>
      <c r="D1792" s="578"/>
      <c r="E1792" s="580"/>
      <c r="F1792" s="69"/>
      <c r="G1792" s="69"/>
      <c r="H1792" s="178">
        <f t="shared" si="54"/>
        <v>0</v>
      </c>
      <c r="I1792" s="178">
        <f t="shared" si="55"/>
        <v>0</v>
      </c>
      <c r="J1792" s="109"/>
    </row>
    <row r="1793" spans="1:11" hidden="1">
      <c r="A1793" s="1554"/>
      <c r="B1793" s="425"/>
      <c r="C1793" s="578"/>
      <c r="D1793" s="578"/>
      <c r="E1793" s="580"/>
      <c r="F1793" s="69"/>
      <c r="G1793" s="69"/>
      <c r="H1793" s="178">
        <f t="shared" si="54"/>
        <v>0</v>
      </c>
      <c r="I1793" s="178">
        <f t="shared" si="55"/>
        <v>0</v>
      </c>
      <c r="J1793" s="109"/>
    </row>
    <row r="1794" spans="1:11" hidden="1">
      <c r="A1794" s="1554"/>
      <c r="B1794" s="425"/>
      <c r="C1794" s="578"/>
      <c r="D1794" s="578"/>
      <c r="E1794" s="580"/>
      <c r="F1794" s="69"/>
      <c r="G1794" s="69"/>
      <c r="H1794" s="178">
        <f t="shared" si="54"/>
        <v>0</v>
      </c>
      <c r="I1794" s="178">
        <f t="shared" si="55"/>
        <v>0</v>
      </c>
      <c r="J1794" s="109"/>
    </row>
    <row r="1795" spans="1:11" hidden="1">
      <c r="A1795" s="1554"/>
      <c r="B1795" s="425"/>
      <c r="C1795" s="578"/>
      <c r="D1795" s="578"/>
      <c r="E1795" s="580"/>
      <c r="F1795" s="69"/>
      <c r="G1795" s="69"/>
      <c r="H1795" s="178">
        <f t="shared" si="54"/>
        <v>0</v>
      </c>
      <c r="I1795" s="178">
        <f t="shared" si="55"/>
        <v>0</v>
      </c>
      <c r="J1795" s="109"/>
    </row>
    <row r="1796" spans="1:11" hidden="1">
      <c r="A1796" s="1554"/>
      <c r="B1796" s="425"/>
      <c r="C1796" s="561"/>
      <c r="D1796" s="577"/>
      <c r="E1796" s="577"/>
      <c r="F1796" s="69"/>
      <c r="G1796" s="69"/>
      <c r="H1796" s="178">
        <f t="shared" si="54"/>
        <v>0</v>
      </c>
      <c r="I1796" s="178">
        <f t="shared" si="55"/>
        <v>0</v>
      </c>
      <c r="J1796" s="109"/>
    </row>
    <row r="1797" spans="1:11">
      <c r="A1797" s="1555"/>
      <c r="B1797" s="209" t="s">
        <v>985</v>
      </c>
      <c r="C1797" s="588">
        <f>SUM(C1750:C1796)</f>
        <v>56000</v>
      </c>
      <c r="D1797" s="588">
        <f>SUM(D1750:D1796)</f>
        <v>0</v>
      </c>
      <c r="E1797" s="588">
        <f>SUM(E1750:E1796)</f>
        <v>56000</v>
      </c>
      <c r="F1797" s="115">
        <f>SUM(F1750:F1796)</f>
        <v>0</v>
      </c>
      <c r="G1797" s="115">
        <f>SUM(G1750:G1796)</f>
        <v>0</v>
      </c>
      <c r="H1797" s="1436">
        <f t="shared" si="54"/>
        <v>0</v>
      </c>
      <c r="I1797" s="1436">
        <f t="shared" si="55"/>
        <v>112000</v>
      </c>
      <c r="J1797" s="1439"/>
      <c r="K1797" s="1435"/>
    </row>
    <row r="1798" spans="1:11" s="376" customFormat="1" hidden="1">
      <c r="A1798" s="1558" t="s">
        <v>270</v>
      </c>
      <c r="B1798" s="371"/>
      <c r="C1798" s="732"/>
      <c r="D1798" s="732"/>
      <c r="E1798" s="732"/>
      <c r="F1798" s="825"/>
      <c r="G1798" s="825"/>
      <c r="H1798" s="178">
        <f t="shared" si="54"/>
        <v>0</v>
      </c>
      <c r="I1798" s="178">
        <f t="shared" si="55"/>
        <v>0</v>
      </c>
      <c r="J1798" s="823"/>
    </row>
    <row r="1799" spans="1:11" hidden="1">
      <c r="A1799" s="1558"/>
      <c r="B1799" s="530"/>
      <c r="C1799" s="529"/>
      <c r="D1799" s="529"/>
      <c r="E1799" s="529"/>
      <c r="F1799" s="245"/>
      <c r="G1799" s="245"/>
      <c r="H1799" s="178">
        <f t="shared" si="54"/>
        <v>0</v>
      </c>
      <c r="I1799" s="178">
        <f t="shared" si="55"/>
        <v>0</v>
      </c>
      <c r="J1799" s="109"/>
    </row>
    <row r="1800" spans="1:11" hidden="1">
      <c r="A1800" s="1558"/>
      <c r="B1800" s="530"/>
      <c r="C1800" s="529"/>
      <c r="D1800" s="529"/>
      <c r="E1800" s="529"/>
      <c r="F1800" s="245"/>
      <c r="G1800" s="245"/>
      <c r="H1800" s="178">
        <f t="shared" si="54"/>
        <v>0</v>
      </c>
      <c r="I1800" s="178">
        <f t="shared" si="55"/>
        <v>0</v>
      </c>
      <c r="J1800" s="109"/>
    </row>
    <row r="1801" spans="1:11" hidden="1">
      <c r="A1801" s="1558"/>
      <c r="B1801" s="209" t="s">
        <v>985</v>
      </c>
      <c r="C1801" s="581">
        <f>SUM(C1798:C1800)</f>
        <v>0</v>
      </c>
      <c r="D1801" s="581">
        <f>SUM(D1798:D1800)</f>
        <v>0</v>
      </c>
      <c r="E1801" s="581">
        <f>SUM(E1798:E1800)</f>
        <v>0</v>
      </c>
      <c r="F1801" s="245"/>
      <c r="G1801" s="245"/>
      <c r="H1801" s="178">
        <f t="shared" ref="H1801:H1864" si="56">E1801+D1801-C1801</f>
        <v>0</v>
      </c>
      <c r="I1801" s="178">
        <f t="shared" ref="I1801:I1864" si="57">SUM(C1801:E1801)</f>
        <v>0</v>
      </c>
      <c r="J1801" s="109"/>
    </row>
    <row r="1802" spans="1:11" hidden="1">
      <c r="A1802" s="1558" t="s">
        <v>829</v>
      </c>
      <c r="B1802" s="369"/>
      <c r="C1802" s="590"/>
      <c r="D1802" s="590"/>
      <c r="E1802" s="590"/>
      <c r="F1802" s="245"/>
      <c r="G1802" s="245"/>
      <c r="H1802" s="178">
        <f t="shared" si="56"/>
        <v>0</v>
      </c>
      <c r="I1802" s="178">
        <f t="shared" si="57"/>
        <v>0</v>
      </c>
      <c r="J1802" s="109"/>
    </row>
    <row r="1803" spans="1:11" ht="75" hidden="1">
      <c r="A1803" s="1558"/>
      <c r="B1803" s="524" t="s">
        <v>826</v>
      </c>
      <c r="C1803" s="525">
        <f>1805558-1805558</f>
        <v>0</v>
      </c>
      <c r="D1803" s="525"/>
      <c r="E1803" s="526">
        <f>1805558-1805558</f>
        <v>0</v>
      </c>
      <c r="F1803" s="245"/>
      <c r="G1803" s="245"/>
      <c r="H1803" s="178">
        <f t="shared" si="56"/>
        <v>0</v>
      </c>
      <c r="I1803" s="178">
        <f t="shared" si="57"/>
        <v>0</v>
      </c>
      <c r="J1803" s="109"/>
    </row>
    <row r="1804" spans="1:11" ht="75" hidden="1">
      <c r="A1804" s="1558"/>
      <c r="B1804" s="524" t="s">
        <v>827</v>
      </c>
      <c r="C1804" s="525">
        <f>2000000-2000000</f>
        <v>0</v>
      </c>
      <c r="D1804" s="525"/>
      <c r="E1804" s="526">
        <f>2000000-2000000</f>
        <v>0</v>
      </c>
      <c r="F1804" s="245"/>
      <c r="G1804" s="245"/>
      <c r="H1804" s="178">
        <f t="shared" si="56"/>
        <v>0</v>
      </c>
      <c r="I1804" s="178">
        <f t="shared" si="57"/>
        <v>0</v>
      </c>
      <c r="J1804" s="109"/>
    </row>
    <row r="1805" spans="1:11" ht="69" hidden="1" customHeight="1">
      <c r="A1805" s="1558"/>
      <c r="B1805" s="369"/>
      <c r="C1805" s="590"/>
      <c r="D1805" s="590"/>
      <c r="E1805" s="590"/>
      <c r="F1805" s="245"/>
      <c r="G1805" s="245"/>
      <c r="H1805" s="178">
        <f t="shared" si="56"/>
        <v>0</v>
      </c>
      <c r="I1805" s="178">
        <f t="shared" si="57"/>
        <v>0</v>
      </c>
      <c r="J1805" s="109"/>
    </row>
    <row r="1806" spans="1:11" ht="131.25" hidden="1">
      <c r="A1806" s="1558"/>
      <c r="B1806" s="524" t="s">
        <v>828</v>
      </c>
      <c r="C1806" s="525">
        <f>1850329-1850329</f>
        <v>0</v>
      </c>
      <c r="D1806" s="525"/>
      <c r="E1806" s="526">
        <f>1850329-1850329</f>
        <v>0</v>
      </c>
      <c r="F1806" s="245"/>
      <c r="G1806" s="245"/>
      <c r="H1806" s="178">
        <f t="shared" si="56"/>
        <v>0</v>
      </c>
      <c r="I1806" s="178">
        <f t="shared" si="57"/>
        <v>0</v>
      </c>
      <c r="J1806" s="109"/>
    </row>
    <row r="1807" spans="1:11" hidden="1">
      <c r="A1807" s="1558"/>
      <c r="B1807" s="530"/>
      <c r="C1807" s="573"/>
      <c r="D1807" s="573"/>
      <c r="E1807" s="573"/>
      <c r="F1807" s="245"/>
      <c r="G1807" s="245"/>
      <c r="H1807" s="178">
        <f t="shared" si="56"/>
        <v>0</v>
      </c>
      <c r="I1807" s="178">
        <f t="shared" si="57"/>
        <v>0</v>
      </c>
      <c r="J1807" s="109"/>
    </row>
    <row r="1808" spans="1:11" hidden="1">
      <c r="A1808" s="1558"/>
      <c r="B1808" s="431"/>
      <c r="C1808" s="584"/>
      <c r="D1808" s="584"/>
      <c r="E1808" s="584"/>
      <c r="F1808" s="245"/>
      <c r="G1808" s="245"/>
      <c r="H1808" s="178">
        <f t="shared" si="56"/>
        <v>0</v>
      </c>
      <c r="I1808" s="178">
        <f t="shared" si="57"/>
        <v>0</v>
      </c>
      <c r="J1808" s="109"/>
    </row>
    <row r="1809" spans="1:11" hidden="1">
      <c r="A1809" s="1558"/>
      <c r="B1809" s="431"/>
      <c r="C1809" s="584"/>
      <c r="D1809" s="584"/>
      <c r="E1809" s="584"/>
      <c r="F1809" s="245"/>
      <c r="G1809" s="245"/>
      <c r="H1809" s="178">
        <f t="shared" si="56"/>
        <v>0</v>
      </c>
      <c r="I1809" s="178">
        <f t="shared" si="57"/>
        <v>0</v>
      </c>
      <c r="J1809" s="109"/>
    </row>
    <row r="1810" spans="1:11" hidden="1">
      <c r="A1810" s="1558"/>
      <c r="B1810" s="431"/>
      <c r="C1810" s="584"/>
      <c r="D1810" s="584"/>
      <c r="E1810" s="584"/>
      <c r="F1810" s="245"/>
      <c r="G1810" s="245"/>
      <c r="H1810" s="178">
        <f t="shared" si="56"/>
        <v>0</v>
      </c>
      <c r="I1810" s="178">
        <f t="shared" si="57"/>
        <v>0</v>
      </c>
      <c r="J1810" s="109"/>
    </row>
    <row r="1811" spans="1:11" hidden="1">
      <c r="A1811" s="1558"/>
      <c r="B1811" s="209" t="s">
        <v>985</v>
      </c>
      <c r="C1811" s="581">
        <f>SUM(C1802:C1810)</f>
        <v>0</v>
      </c>
      <c r="D1811" s="581">
        <f>SUM(D1802:D1810)</f>
        <v>0</v>
      </c>
      <c r="E1811" s="581">
        <f>SUM(E1802:E1810)</f>
        <v>0</v>
      </c>
      <c r="F1811" s="429">
        <f>SUM(F1802:F1810)</f>
        <v>0</v>
      </c>
      <c r="G1811" s="429">
        <f>SUM(G1802:G1810)</f>
        <v>0</v>
      </c>
      <c r="H1811" s="178">
        <f t="shared" si="56"/>
        <v>0</v>
      </c>
      <c r="I1811" s="178">
        <f t="shared" si="57"/>
        <v>0</v>
      </c>
      <c r="J1811" s="109"/>
    </row>
    <row r="1812" spans="1:11" hidden="1">
      <c r="A1812" s="1558" t="s">
        <v>43</v>
      </c>
      <c r="B1812" s="369"/>
      <c r="C1812" s="590"/>
      <c r="D1812" s="590"/>
      <c r="E1812" s="590"/>
      <c r="F1812" s="245"/>
      <c r="G1812" s="245"/>
      <c r="H1812" s="178">
        <f t="shared" si="56"/>
        <v>0</v>
      </c>
      <c r="I1812" s="178">
        <f t="shared" si="57"/>
        <v>0</v>
      </c>
      <c r="J1812" s="109"/>
    </row>
    <row r="1813" spans="1:11" hidden="1">
      <c r="A1813" s="1558"/>
      <c r="B1813" s="541"/>
      <c r="C1813" s="591"/>
      <c r="D1813" s="591"/>
      <c r="E1813" s="591"/>
      <c r="F1813" s="245"/>
      <c r="G1813" s="245"/>
      <c r="H1813" s="178">
        <f t="shared" si="56"/>
        <v>0</v>
      </c>
      <c r="I1813" s="178">
        <f t="shared" si="57"/>
        <v>0</v>
      </c>
      <c r="J1813" s="109"/>
    </row>
    <row r="1814" spans="1:11" hidden="1">
      <c r="A1814" s="1558"/>
      <c r="B1814" s="209" t="s">
        <v>985</v>
      </c>
      <c r="C1814" s="581">
        <f>SUM(C1812:C1813)</f>
        <v>0</v>
      </c>
      <c r="D1814" s="581">
        <f>SUM(D1812:D1813)</f>
        <v>0</v>
      </c>
      <c r="E1814" s="581">
        <f>SUM(E1812:E1813)</f>
        <v>0</v>
      </c>
      <c r="F1814" s="245"/>
      <c r="G1814" s="245"/>
      <c r="H1814" s="178">
        <f t="shared" si="56"/>
        <v>0</v>
      </c>
      <c r="I1814" s="178">
        <f t="shared" si="57"/>
        <v>0</v>
      </c>
      <c r="J1814" s="109"/>
    </row>
    <row r="1815" spans="1:11" ht="112.5">
      <c r="A1815" s="1558" t="s">
        <v>1119</v>
      </c>
      <c r="B1815" s="1378" t="s">
        <v>2032</v>
      </c>
      <c r="C1815" s="1379">
        <v>28000</v>
      </c>
      <c r="D1815" s="1379"/>
      <c r="E1815" s="1380">
        <v>28000</v>
      </c>
      <c r="F1815" s="1381"/>
      <c r="G1815" s="1381"/>
      <c r="H1815" s="1436">
        <f t="shared" si="56"/>
        <v>0</v>
      </c>
      <c r="I1815" s="1436">
        <f t="shared" si="57"/>
        <v>56000</v>
      </c>
      <c r="J1815" s="1439"/>
      <c r="K1815" s="1435"/>
    </row>
    <row r="1816" spans="1:11" hidden="1">
      <c r="A1816" s="1558"/>
      <c r="B1816" s="524"/>
      <c r="C1816" s="525">
        <f>1070000-1070000</f>
        <v>0</v>
      </c>
      <c r="D1816" s="525"/>
      <c r="E1816" s="526">
        <f>1070000-1070000</f>
        <v>0</v>
      </c>
      <c r="F1816" s="245"/>
      <c r="G1816" s="245"/>
      <c r="H1816" s="178">
        <f t="shared" si="56"/>
        <v>0</v>
      </c>
      <c r="I1816" s="178">
        <f t="shared" si="57"/>
        <v>0</v>
      </c>
      <c r="J1816" s="109"/>
    </row>
    <row r="1817" spans="1:11" s="622" customFormat="1" hidden="1">
      <c r="A1817" s="1558"/>
      <c r="B1817" s="617"/>
      <c r="C1817" s="626"/>
      <c r="D1817" s="626"/>
      <c r="E1817" s="626"/>
      <c r="F1817" s="627"/>
      <c r="G1817" s="627"/>
      <c r="H1817" s="178">
        <f t="shared" si="56"/>
        <v>0</v>
      </c>
      <c r="I1817" s="178">
        <f t="shared" si="57"/>
        <v>0</v>
      </c>
      <c r="J1817" s="621"/>
    </row>
    <row r="1818" spans="1:11" s="622" customFormat="1" hidden="1">
      <c r="A1818" s="1558"/>
      <c r="B1818" s="617"/>
      <c r="C1818" s="626"/>
      <c r="D1818" s="626"/>
      <c r="E1818" s="626"/>
      <c r="F1818" s="627"/>
      <c r="G1818" s="627"/>
      <c r="H1818" s="178">
        <f t="shared" si="56"/>
        <v>0</v>
      </c>
      <c r="I1818" s="178">
        <f t="shared" si="57"/>
        <v>0</v>
      </c>
      <c r="J1818" s="621"/>
    </row>
    <row r="1819" spans="1:11" hidden="1">
      <c r="A1819" s="1558"/>
      <c r="B1819" s="480"/>
      <c r="C1819" s="593"/>
      <c r="D1819" s="593"/>
      <c r="E1819" s="590"/>
      <c r="F1819" s="245"/>
      <c r="G1819" s="245"/>
      <c r="H1819" s="178">
        <f t="shared" si="56"/>
        <v>0</v>
      </c>
      <c r="I1819" s="178">
        <f t="shared" si="57"/>
        <v>0</v>
      </c>
      <c r="J1819" s="109"/>
    </row>
    <row r="1820" spans="1:11">
      <c r="A1820" s="1558"/>
      <c r="B1820" s="209" t="s">
        <v>985</v>
      </c>
      <c r="C1820" s="581">
        <f>SUM(C1815:C1819)</f>
        <v>28000</v>
      </c>
      <c r="D1820" s="581">
        <f>SUM(D1815:D1819)</f>
        <v>0</v>
      </c>
      <c r="E1820" s="581">
        <f>SUM(E1815:E1819)</f>
        <v>28000</v>
      </c>
      <c r="F1820" s="429">
        <f>SUM(F1815:F1816)</f>
        <v>0</v>
      </c>
      <c r="G1820" s="429">
        <f>SUM(G1815:G1816)</f>
        <v>0</v>
      </c>
      <c r="H1820" s="1436">
        <f t="shared" si="56"/>
        <v>0</v>
      </c>
      <c r="I1820" s="1436">
        <f t="shared" si="57"/>
        <v>56000</v>
      </c>
      <c r="J1820" s="1439"/>
      <c r="K1820" s="1435"/>
    </row>
    <row r="1821" spans="1:11" ht="37.5">
      <c r="A1821" s="1558" t="s">
        <v>1101</v>
      </c>
      <c r="B1821" s="1154" t="s">
        <v>1200</v>
      </c>
      <c r="C1821" s="590">
        <v>585000</v>
      </c>
      <c r="D1821" s="590"/>
      <c r="E1821" s="590">
        <v>585000</v>
      </c>
      <c r="F1821" s="245"/>
      <c r="G1821" s="245"/>
      <c r="H1821" s="1436">
        <f t="shared" si="56"/>
        <v>0</v>
      </c>
      <c r="I1821" s="1436">
        <f t="shared" si="57"/>
        <v>1170000</v>
      </c>
      <c r="J1821" s="1439"/>
      <c r="K1821" s="1435"/>
    </row>
    <row r="1822" spans="1:11" hidden="1">
      <c r="A1822" s="1558"/>
      <c r="B1822" s="369"/>
      <c r="C1822" s="585"/>
      <c r="D1822" s="585"/>
      <c r="E1822" s="585"/>
      <c r="F1822" s="245"/>
      <c r="G1822" s="245"/>
      <c r="H1822" s="178">
        <f t="shared" si="56"/>
        <v>0</v>
      </c>
      <c r="I1822" s="178">
        <f t="shared" si="57"/>
        <v>0</v>
      </c>
      <c r="J1822" s="109"/>
    </row>
    <row r="1823" spans="1:11" ht="41.45" customHeight="1">
      <c r="A1823" s="1558"/>
      <c r="B1823" s="209" t="s">
        <v>985</v>
      </c>
      <c r="C1823" s="581">
        <f>SUM(C1821:C1822)</f>
        <v>585000</v>
      </c>
      <c r="D1823" s="581">
        <f>SUM(D1821:D1822)</f>
        <v>0</v>
      </c>
      <c r="E1823" s="581">
        <f>SUM(E1821:E1822)</f>
        <v>585000</v>
      </c>
      <c r="F1823" s="245"/>
      <c r="G1823" s="245"/>
      <c r="H1823" s="1436">
        <f t="shared" si="56"/>
        <v>0</v>
      </c>
      <c r="I1823" s="1436">
        <f t="shared" si="57"/>
        <v>1170000</v>
      </c>
      <c r="J1823" s="1439"/>
      <c r="K1823" s="1435"/>
    </row>
    <row r="1824" spans="1:11" ht="93.75">
      <c r="A1824" s="1558" t="s">
        <v>1130</v>
      </c>
      <c r="B1824" s="1175" t="s">
        <v>1265</v>
      </c>
      <c r="C1824" s="1182">
        <v>89556</v>
      </c>
      <c r="D1824" s="1182"/>
      <c r="E1824" s="1182">
        <v>89556</v>
      </c>
      <c r="F1824" s="1190"/>
      <c r="G1824" s="1190"/>
      <c r="H1824" s="1436">
        <f t="shared" si="56"/>
        <v>0</v>
      </c>
      <c r="I1824" s="1436">
        <f t="shared" si="57"/>
        <v>179112</v>
      </c>
      <c r="J1824" s="1439"/>
      <c r="K1824" s="1435"/>
    </row>
    <row r="1825" spans="1:11" hidden="1">
      <c r="A1825" s="1558"/>
      <c r="B1825" s="480"/>
      <c r="C1825" s="594"/>
      <c r="D1825" s="594"/>
      <c r="E1825" s="585"/>
      <c r="F1825" s="245"/>
      <c r="G1825" s="245"/>
      <c r="H1825" s="178">
        <f t="shared" si="56"/>
        <v>0</v>
      </c>
      <c r="I1825" s="178">
        <f t="shared" si="57"/>
        <v>0</v>
      </c>
      <c r="J1825" s="109"/>
    </row>
    <row r="1826" spans="1:11" ht="29.45" customHeight="1">
      <c r="A1826" s="1558"/>
      <c r="B1826" s="209" t="s">
        <v>985</v>
      </c>
      <c r="C1826" s="581">
        <f>SUM(C1824:C1825)</f>
        <v>89556</v>
      </c>
      <c r="D1826" s="581">
        <f>SUM(D1824:D1825)</f>
        <v>0</v>
      </c>
      <c r="E1826" s="581">
        <f>SUM(E1824:E1825)</f>
        <v>89556</v>
      </c>
      <c r="F1826" s="245"/>
      <c r="G1826" s="245"/>
      <c r="H1826" s="1436">
        <f t="shared" si="56"/>
        <v>0</v>
      </c>
      <c r="I1826" s="1436">
        <f t="shared" si="57"/>
        <v>179112</v>
      </c>
      <c r="J1826" s="1439"/>
      <c r="K1826" s="1435"/>
    </row>
    <row r="1827" spans="1:11" ht="75">
      <c r="A1827" s="1558" t="s">
        <v>1112</v>
      </c>
      <c r="B1827" s="1373" t="s">
        <v>2026</v>
      </c>
      <c r="C1827" s="1374">
        <v>579150</v>
      </c>
      <c r="D1827" s="1374"/>
      <c r="E1827" s="1374">
        <v>579150</v>
      </c>
      <c r="F1827" s="1377"/>
      <c r="G1827" s="1377"/>
      <c r="H1827" s="1436">
        <f t="shared" si="56"/>
        <v>0</v>
      </c>
      <c r="I1827" s="1436">
        <f t="shared" si="57"/>
        <v>1158300</v>
      </c>
      <c r="J1827" s="1439"/>
      <c r="K1827" s="1435"/>
    </row>
    <row r="1828" spans="1:11" hidden="1">
      <c r="A1828" s="1558"/>
      <c r="B1828" s="530"/>
      <c r="C1828" s="594"/>
      <c r="D1828" s="594"/>
      <c r="E1828" s="585"/>
      <c r="F1828" s="245"/>
      <c r="G1828" s="245"/>
      <c r="H1828" s="178">
        <f t="shared" si="56"/>
        <v>0</v>
      </c>
      <c r="I1828" s="178">
        <f t="shared" si="57"/>
        <v>0</v>
      </c>
      <c r="J1828" s="109"/>
    </row>
    <row r="1829" spans="1:11">
      <c r="A1829" s="1558"/>
      <c r="B1829" s="209" t="s">
        <v>985</v>
      </c>
      <c r="C1829" s="581">
        <f>SUM(C1827:C1828)</f>
        <v>579150</v>
      </c>
      <c r="D1829" s="581">
        <f>SUM(D1827:D1828)</f>
        <v>0</v>
      </c>
      <c r="E1829" s="581">
        <f>SUM(E1827:E1828)</f>
        <v>579150</v>
      </c>
      <c r="F1829" s="245"/>
      <c r="G1829" s="245"/>
      <c r="H1829" s="1436">
        <f t="shared" si="56"/>
        <v>0</v>
      </c>
      <c r="I1829" s="1436">
        <f t="shared" si="57"/>
        <v>1158300</v>
      </c>
      <c r="J1829" s="1439"/>
      <c r="K1829" s="1435"/>
    </row>
    <row r="1830" spans="1:11" ht="37.5">
      <c r="A1830" s="1558" t="s">
        <v>2093</v>
      </c>
      <c r="B1830" s="1180" t="s">
        <v>1200</v>
      </c>
      <c r="C1830" s="1181">
        <v>585000</v>
      </c>
      <c r="D1830" s="1181"/>
      <c r="E1830" s="1181">
        <v>585000</v>
      </c>
      <c r="F1830" s="1177"/>
      <c r="G1830" s="1177"/>
      <c r="H1830" s="1436">
        <f t="shared" si="56"/>
        <v>0</v>
      </c>
      <c r="I1830" s="1436">
        <f t="shared" si="57"/>
        <v>1170000</v>
      </c>
      <c r="J1830" s="1439"/>
      <c r="K1830" s="1435"/>
    </row>
    <row r="1831" spans="1:11" ht="112.5">
      <c r="A1831" s="1558"/>
      <c r="B1831" s="1378" t="s">
        <v>2074</v>
      </c>
      <c r="C1831" s="1392">
        <v>28000</v>
      </c>
      <c r="D1831" s="1392"/>
      <c r="E1831" s="1392">
        <v>28000</v>
      </c>
      <c r="F1831" s="245"/>
      <c r="G1831" s="245"/>
      <c r="H1831" s="1436">
        <f t="shared" si="56"/>
        <v>0</v>
      </c>
      <c r="I1831" s="1436">
        <f t="shared" si="57"/>
        <v>56000</v>
      </c>
      <c r="J1831" s="1439"/>
      <c r="K1831" s="1435"/>
    </row>
    <row r="1832" spans="1:11" ht="75">
      <c r="A1832" s="1558"/>
      <c r="B1832" s="1378" t="s">
        <v>2075</v>
      </c>
      <c r="C1832" s="1392">
        <v>11000</v>
      </c>
      <c r="D1832" s="1392"/>
      <c r="E1832" s="1392">
        <v>11000</v>
      </c>
      <c r="F1832" s="245"/>
      <c r="G1832" s="245"/>
      <c r="H1832" s="1436">
        <f t="shared" si="56"/>
        <v>0</v>
      </c>
      <c r="I1832" s="1436">
        <f t="shared" si="57"/>
        <v>22000</v>
      </c>
      <c r="J1832" s="1439"/>
      <c r="K1832" s="1435"/>
    </row>
    <row r="1833" spans="1:11">
      <c r="A1833" s="1558"/>
      <c r="B1833" s="209" t="s">
        <v>985</v>
      </c>
      <c r="C1833" s="581">
        <f>SUM(C1830:C1832)</f>
        <v>624000</v>
      </c>
      <c r="D1833" s="581">
        <f>SUM(D1830:D1832)</f>
        <v>0</v>
      </c>
      <c r="E1833" s="581">
        <f>SUM(E1830:E1832)</f>
        <v>624000</v>
      </c>
      <c r="F1833" s="546">
        <f>SUM(F1830:F1832)</f>
        <v>0</v>
      </c>
      <c r="G1833" s="546">
        <f>SUM(G1830:G1832)</f>
        <v>0</v>
      </c>
      <c r="H1833" s="1436">
        <f t="shared" si="56"/>
        <v>0</v>
      </c>
      <c r="I1833" s="1436">
        <f t="shared" si="57"/>
        <v>1248000</v>
      </c>
      <c r="J1833" s="1439"/>
      <c r="K1833" s="1435"/>
    </row>
    <row r="1834" spans="1:11" hidden="1">
      <c r="A1834" s="1558" t="s">
        <v>103</v>
      </c>
      <c r="B1834" s="369"/>
      <c r="C1834" s="585"/>
      <c r="D1834" s="585"/>
      <c r="E1834" s="585"/>
      <c r="F1834" s="245"/>
      <c r="G1834" s="245"/>
      <c r="H1834" s="178">
        <f t="shared" si="56"/>
        <v>0</v>
      </c>
      <c r="I1834" s="178">
        <f t="shared" si="57"/>
        <v>0</v>
      </c>
      <c r="J1834" s="109"/>
    </row>
    <row r="1835" spans="1:11" s="611" customFormat="1" hidden="1">
      <c r="A1835" s="1558"/>
      <c r="B1835" s="607"/>
      <c r="C1835" s="608"/>
      <c r="D1835" s="608"/>
      <c r="E1835" s="608"/>
      <c r="F1835" s="609"/>
      <c r="G1835" s="609"/>
      <c r="H1835" s="178">
        <f t="shared" si="56"/>
        <v>0</v>
      </c>
      <c r="I1835" s="178">
        <f t="shared" si="57"/>
        <v>0</v>
      </c>
      <c r="J1835" s="610"/>
    </row>
    <row r="1836" spans="1:11" hidden="1">
      <c r="A1836" s="1558"/>
      <c r="B1836" s="209" t="s">
        <v>985</v>
      </c>
      <c r="C1836" s="581">
        <f>SUM(C1834:C1835)</f>
        <v>0</v>
      </c>
      <c r="D1836" s="581">
        <f>SUM(D1834:D1835)</f>
        <v>0</v>
      </c>
      <c r="E1836" s="581">
        <f>SUM(E1834:E1835)</f>
        <v>0</v>
      </c>
      <c r="F1836" s="245"/>
      <c r="G1836" s="245"/>
      <c r="H1836" s="178">
        <f t="shared" si="56"/>
        <v>0</v>
      </c>
      <c r="I1836" s="178">
        <f t="shared" si="57"/>
        <v>0</v>
      </c>
      <c r="J1836" s="109"/>
    </row>
    <row r="1837" spans="1:11" ht="75">
      <c r="A1837" s="1558" t="s">
        <v>1116</v>
      </c>
      <c r="B1837" s="1378" t="s">
        <v>2076</v>
      </c>
      <c r="C1837" s="1392">
        <v>14000</v>
      </c>
      <c r="D1837" s="1392"/>
      <c r="E1837" s="1392">
        <v>14000</v>
      </c>
      <c r="F1837" s="245"/>
      <c r="G1837" s="245"/>
      <c r="H1837" s="1436">
        <f t="shared" si="56"/>
        <v>0</v>
      </c>
      <c r="I1837" s="1436">
        <f t="shared" si="57"/>
        <v>28000</v>
      </c>
      <c r="J1837" s="1439"/>
      <c r="K1837" s="1435"/>
    </row>
    <row r="1838" spans="1:11" hidden="1">
      <c r="A1838" s="1558"/>
      <c r="B1838" s="533"/>
      <c r="C1838" s="587"/>
      <c r="D1838" s="587"/>
      <c r="E1838" s="587"/>
      <c r="F1838" s="245"/>
      <c r="G1838" s="245"/>
      <c r="H1838" s="178">
        <f t="shared" si="56"/>
        <v>0</v>
      </c>
      <c r="I1838" s="178">
        <f t="shared" si="57"/>
        <v>0</v>
      </c>
      <c r="J1838" s="109"/>
    </row>
    <row r="1839" spans="1:11" hidden="1">
      <c r="A1839" s="1558"/>
      <c r="B1839" s="425"/>
      <c r="C1839" s="561"/>
      <c r="D1839" s="561"/>
      <c r="E1839" s="561"/>
      <c r="F1839" s="245"/>
      <c r="G1839" s="245"/>
      <c r="H1839" s="178">
        <f t="shared" si="56"/>
        <v>0</v>
      </c>
      <c r="I1839" s="178">
        <f t="shared" si="57"/>
        <v>0</v>
      </c>
      <c r="J1839" s="109"/>
    </row>
    <row r="1840" spans="1:11" ht="35.450000000000003" customHeight="1">
      <c r="A1840" s="1558"/>
      <c r="B1840" s="209" t="s">
        <v>985</v>
      </c>
      <c r="C1840" s="581">
        <f>SUM(C1837:C1839)</f>
        <v>14000</v>
      </c>
      <c r="D1840" s="581">
        <f>SUM(D1837:D1839)</f>
        <v>0</v>
      </c>
      <c r="E1840" s="581">
        <f>SUM(E1837:E1839)</f>
        <v>14000</v>
      </c>
      <c r="F1840" s="245"/>
      <c r="G1840" s="245"/>
      <c r="H1840" s="1436">
        <f t="shared" si="56"/>
        <v>0</v>
      </c>
      <c r="I1840" s="1436">
        <f t="shared" si="57"/>
        <v>28000</v>
      </c>
      <c r="J1840" s="1439"/>
      <c r="K1840" s="1435"/>
    </row>
    <row r="1841" spans="1:11" s="109" customFormat="1" hidden="1">
      <c r="A1841" s="1558" t="s">
        <v>825</v>
      </c>
      <c r="B1841" s="369"/>
      <c r="C1841" s="585"/>
      <c r="D1841" s="585"/>
      <c r="E1841" s="585"/>
      <c r="F1841" s="247"/>
      <c r="G1841" s="247"/>
      <c r="H1841" s="178">
        <f t="shared" si="56"/>
        <v>0</v>
      </c>
      <c r="I1841" s="178">
        <f t="shared" si="57"/>
        <v>0</v>
      </c>
    </row>
    <row r="1842" spans="1:11" s="109" customFormat="1" hidden="1">
      <c r="A1842" s="1558"/>
      <c r="B1842" s="369"/>
      <c r="C1842" s="585"/>
      <c r="D1842" s="585"/>
      <c r="E1842" s="585"/>
      <c r="F1842" s="247"/>
      <c r="G1842" s="247"/>
      <c r="H1842" s="178">
        <f t="shared" si="56"/>
        <v>0</v>
      </c>
      <c r="I1842" s="178">
        <f t="shared" si="57"/>
        <v>0</v>
      </c>
    </row>
    <row r="1843" spans="1:11" s="109" customFormat="1" hidden="1">
      <c r="A1843" s="1558"/>
      <c r="B1843" s="541"/>
      <c r="C1843" s="542"/>
      <c r="D1843" s="542"/>
      <c r="E1843" s="542"/>
      <c r="F1843" s="247"/>
      <c r="G1843" s="247"/>
      <c r="H1843" s="178">
        <f t="shared" si="56"/>
        <v>0</v>
      </c>
      <c r="I1843" s="178">
        <f t="shared" si="57"/>
        <v>0</v>
      </c>
    </row>
    <row r="1844" spans="1:11" hidden="1">
      <c r="A1844" s="1558"/>
      <c r="B1844" s="209" t="s">
        <v>985</v>
      </c>
      <c r="C1844" s="581">
        <f>SUM(C1841:C1843)</f>
        <v>0</v>
      </c>
      <c r="D1844" s="581">
        <f>SUM(D1841:D1843)</f>
        <v>0</v>
      </c>
      <c r="E1844" s="581">
        <f>SUM(E1841:E1843)</f>
        <v>0</v>
      </c>
      <c r="F1844" s="115">
        <f>SUM(F1841:F1841)</f>
        <v>0</v>
      </c>
      <c r="G1844" s="115">
        <f>SUM(G1841:G1841)</f>
        <v>0</v>
      </c>
      <c r="H1844" s="178">
        <f t="shared" si="56"/>
        <v>0</v>
      </c>
      <c r="I1844" s="178">
        <f t="shared" si="57"/>
        <v>0</v>
      </c>
      <c r="J1844" s="109"/>
    </row>
    <row r="1845" spans="1:11" s="109" customFormat="1" ht="56.25">
      <c r="A1845" s="1558" t="s">
        <v>2094</v>
      </c>
      <c r="B1845" s="524" t="s">
        <v>2089</v>
      </c>
      <c r="C1845" s="1413">
        <v>14000</v>
      </c>
      <c r="D1845" s="1413"/>
      <c r="E1845" s="1413">
        <v>14000</v>
      </c>
      <c r="F1845" s="247"/>
      <c r="G1845" s="247"/>
      <c r="H1845" s="1436">
        <f t="shared" si="56"/>
        <v>0</v>
      </c>
      <c r="I1845" s="1436">
        <f t="shared" si="57"/>
        <v>28000</v>
      </c>
      <c r="J1845" s="1439"/>
      <c r="K1845" s="1439"/>
    </row>
    <row r="1846" spans="1:11" s="109" customFormat="1" hidden="1">
      <c r="A1846" s="1558"/>
      <c r="B1846" s="516"/>
      <c r="C1846" s="558"/>
      <c r="D1846" s="558"/>
      <c r="E1846" s="558"/>
      <c r="F1846" s="247"/>
      <c r="G1846" s="247"/>
      <c r="H1846" s="178">
        <f t="shared" si="56"/>
        <v>0</v>
      </c>
      <c r="I1846" s="178">
        <f t="shared" si="57"/>
        <v>0</v>
      </c>
    </row>
    <row r="1847" spans="1:11" s="109" customFormat="1" hidden="1">
      <c r="A1847" s="1558"/>
      <c r="B1847" s="369"/>
      <c r="C1847" s="585"/>
      <c r="D1847" s="585"/>
      <c r="E1847" s="585"/>
      <c r="F1847" s="247"/>
      <c r="G1847" s="247"/>
      <c r="H1847" s="178">
        <f t="shared" si="56"/>
        <v>0</v>
      </c>
      <c r="I1847" s="178">
        <f t="shared" si="57"/>
        <v>0</v>
      </c>
    </row>
    <row r="1848" spans="1:11" s="109" customFormat="1" hidden="1">
      <c r="A1848" s="1558"/>
      <c r="B1848" s="530"/>
      <c r="C1848" s="529"/>
      <c r="D1848" s="529"/>
      <c r="E1848" s="529"/>
      <c r="F1848" s="247"/>
      <c r="G1848" s="247"/>
      <c r="H1848" s="178">
        <f t="shared" si="56"/>
        <v>0</v>
      </c>
      <c r="I1848" s="178">
        <f t="shared" si="57"/>
        <v>0</v>
      </c>
    </row>
    <row r="1849" spans="1:11" s="109" customFormat="1" hidden="1">
      <c r="A1849" s="1558"/>
      <c r="B1849" s="530"/>
      <c r="C1849" s="529"/>
      <c r="D1849" s="529"/>
      <c r="E1849" s="529"/>
      <c r="F1849" s="247"/>
      <c r="G1849" s="247"/>
      <c r="H1849" s="178">
        <f t="shared" si="56"/>
        <v>0</v>
      </c>
      <c r="I1849" s="178">
        <f t="shared" si="57"/>
        <v>0</v>
      </c>
    </row>
    <row r="1850" spans="1:11" s="109" customFormat="1" hidden="1">
      <c r="A1850" s="1558"/>
      <c r="B1850" s="425"/>
      <c r="C1850" s="561"/>
      <c r="D1850" s="561"/>
      <c r="E1850" s="561"/>
      <c r="F1850" s="247"/>
      <c r="G1850" s="247"/>
      <c r="H1850" s="178">
        <f t="shared" si="56"/>
        <v>0</v>
      </c>
      <c r="I1850" s="178">
        <f t="shared" si="57"/>
        <v>0</v>
      </c>
    </row>
    <row r="1851" spans="1:11">
      <c r="A1851" s="1558"/>
      <c r="B1851" s="209" t="s">
        <v>985</v>
      </c>
      <c r="C1851" s="581">
        <f>SUM(C1845:C1850)</f>
        <v>14000</v>
      </c>
      <c r="D1851" s="581">
        <f>SUM(D1845:D1850)</f>
        <v>0</v>
      </c>
      <c r="E1851" s="581">
        <f>SUM(E1845:E1850)</f>
        <v>14000</v>
      </c>
      <c r="F1851" s="115">
        <f>SUM(F1845:F1845)</f>
        <v>0</v>
      </c>
      <c r="G1851" s="115">
        <f>SUM(G1845:G1845)</f>
        <v>0</v>
      </c>
      <c r="H1851" s="1436">
        <f t="shared" si="56"/>
        <v>0</v>
      </c>
      <c r="I1851" s="1436">
        <f t="shared" si="57"/>
        <v>28000</v>
      </c>
      <c r="J1851" s="1439"/>
      <c r="K1851" s="1435"/>
    </row>
    <row r="1852" spans="1:11" s="92" customFormat="1" ht="37.5">
      <c r="A1852" s="1568" t="s">
        <v>2095</v>
      </c>
      <c r="B1852" s="1378" t="s">
        <v>2077</v>
      </c>
      <c r="C1852" s="1392">
        <v>14000</v>
      </c>
      <c r="D1852" s="1392"/>
      <c r="E1852" s="1392">
        <v>14000</v>
      </c>
      <c r="F1852" s="247"/>
      <c r="G1852" s="247"/>
      <c r="H1852" s="1436">
        <f t="shared" si="56"/>
        <v>0</v>
      </c>
      <c r="I1852" s="1436">
        <f t="shared" si="57"/>
        <v>28000</v>
      </c>
      <c r="J1852" s="1439"/>
      <c r="K1852" s="1440"/>
    </row>
    <row r="1853" spans="1:11" s="92" customFormat="1" hidden="1">
      <c r="A1853" s="1569"/>
      <c r="B1853" s="534"/>
      <c r="C1853" s="587"/>
      <c r="D1853" s="587"/>
      <c r="E1853" s="587"/>
      <c r="F1853" s="247"/>
      <c r="G1853" s="247"/>
      <c r="H1853" s="178">
        <f t="shared" si="56"/>
        <v>0</v>
      </c>
      <c r="I1853" s="178">
        <f t="shared" si="57"/>
        <v>0</v>
      </c>
      <c r="J1853" s="109"/>
    </row>
    <row r="1854" spans="1:11" s="92" customFormat="1" hidden="1">
      <c r="A1854" s="1569"/>
      <c r="B1854" s="533"/>
      <c r="C1854" s="587"/>
      <c r="D1854" s="587"/>
      <c r="E1854" s="587"/>
      <c r="F1854" s="247"/>
      <c r="G1854" s="247"/>
      <c r="H1854" s="178">
        <f t="shared" si="56"/>
        <v>0</v>
      </c>
      <c r="I1854" s="178">
        <f t="shared" si="57"/>
        <v>0</v>
      </c>
      <c r="J1854" s="109"/>
    </row>
    <row r="1855" spans="1:11" s="92" customFormat="1" hidden="1">
      <c r="A1855" s="1569"/>
      <c r="B1855" s="431"/>
      <c r="C1855" s="584"/>
      <c r="D1855" s="584"/>
      <c r="E1855" s="584"/>
      <c r="F1855" s="247"/>
      <c r="G1855" s="247"/>
      <c r="H1855" s="178">
        <f t="shared" si="56"/>
        <v>0</v>
      </c>
      <c r="I1855" s="178">
        <f t="shared" si="57"/>
        <v>0</v>
      </c>
      <c r="J1855" s="109"/>
    </row>
    <row r="1856" spans="1:11" s="92" customFormat="1" hidden="1">
      <c r="A1856" s="1569"/>
      <c r="B1856" s="431"/>
      <c r="C1856" s="584"/>
      <c r="D1856" s="584"/>
      <c r="E1856" s="584"/>
      <c r="F1856" s="247"/>
      <c r="G1856" s="247"/>
      <c r="H1856" s="178">
        <f t="shared" si="56"/>
        <v>0</v>
      </c>
      <c r="I1856" s="178">
        <f t="shared" si="57"/>
        <v>0</v>
      </c>
      <c r="J1856" s="109"/>
    </row>
    <row r="1857" spans="1:13" s="411" customFormat="1" hidden="1">
      <c r="A1857" s="1569"/>
      <c r="B1857" s="431"/>
      <c r="C1857" s="584"/>
      <c r="D1857" s="584"/>
      <c r="E1857" s="584"/>
      <c r="F1857" s="409"/>
      <c r="G1857" s="409"/>
      <c r="H1857" s="178">
        <f t="shared" si="56"/>
        <v>0</v>
      </c>
      <c r="I1857" s="178">
        <f t="shared" si="57"/>
        <v>0</v>
      </c>
      <c r="J1857" s="109"/>
    </row>
    <row r="1858" spans="1:13" s="92" customFormat="1" hidden="1">
      <c r="A1858" s="1569"/>
      <c r="B1858" s="431"/>
      <c r="C1858" s="584"/>
      <c r="D1858" s="584"/>
      <c r="E1858" s="584"/>
      <c r="F1858" s="247"/>
      <c r="G1858" s="247"/>
      <c r="H1858" s="178">
        <f t="shared" si="56"/>
        <v>0</v>
      </c>
      <c r="I1858" s="178">
        <f t="shared" si="57"/>
        <v>0</v>
      </c>
      <c r="J1858" s="109"/>
    </row>
    <row r="1859" spans="1:13" ht="37.15" customHeight="1">
      <c r="A1859" s="1555"/>
      <c r="B1859" s="209" t="s">
        <v>985</v>
      </c>
      <c r="C1859" s="581">
        <f>SUM(C1852:C1858)</f>
        <v>14000</v>
      </c>
      <c r="D1859" s="581">
        <f>SUM(D1852:D1858)</f>
        <v>0</v>
      </c>
      <c r="E1859" s="581">
        <f>SUM(E1852:E1858)</f>
        <v>14000</v>
      </c>
      <c r="F1859" s="115">
        <f>SUM(F1853:F1853)</f>
        <v>0</v>
      </c>
      <c r="G1859" s="115">
        <f>SUM(G1853:G1853)</f>
        <v>0</v>
      </c>
      <c r="H1859" s="1436">
        <f t="shared" si="56"/>
        <v>0</v>
      </c>
      <c r="I1859" s="1436">
        <f t="shared" si="57"/>
        <v>28000</v>
      </c>
      <c r="J1859" s="1439"/>
      <c r="K1859" s="1435"/>
    </row>
    <row r="1860" spans="1:13" s="109" customFormat="1" hidden="1">
      <c r="A1860" s="1558" t="s">
        <v>106</v>
      </c>
      <c r="B1860" s="369"/>
      <c r="C1860" s="585"/>
      <c r="D1860" s="585"/>
      <c r="E1860" s="585"/>
      <c r="F1860" s="247"/>
      <c r="G1860" s="247"/>
      <c r="H1860" s="178">
        <f t="shared" si="56"/>
        <v>0</v>
      </c>
      <c r="I1860" s="178">
        <f t="shared" si="57"/>
        <v>0</v>
      </c>
    </row>
    <row r="1861" spans="1:13" s="109" customFormat="1" hidden="1">
      <c r="A1861" s="1558"/>
      <c r="B1861" s="541"/>
      <c r="C1861" s="591"/>
      <c r="D1861" s="591"/>
      <c r="E1861" s="591"/>
      <c r="F1861" s="247"/>
      <c r="G1861" s="247"/>
      <c r="H1861" s="178">
        <f t="shared" si="56"/>
        <v>0</v>
      </c>
      <c r="I1861" s="178">
        <f t="shared" si="57"/>
        <v>0</v>
      </c>
    </row>
    <row r="1862" spans="1:13" hidden="1">
      <c r="A1862" s="1558"/>
      <c r="B1862" s="209" t="s">
        <v>985</v>
      </c>
      <c r="C1862" s="581">
        <f>SUM(C1860:C1861)</f>
        <v>0</v>
      </c>
      <c r="D1862" s="581">
        <f>SUM(D1860:D1861)</f>
        <v>0</v>
      </c>
      <c r="E1862" s="581">
        <f>SUM(E1860:E1861)</f>
        <v>0</v>
      </c>
      <c r="F1862" s="115">
        <f>SUM(F1860:F1860)</f>
        <v>0</v>
      </c>
      <c r="G1862" s="115">
        <f>SUM(G1860:G1860)</f>
        <v>0</v>
      </c>
      <c r="H1862" s="178">
        <f t="shared" si="56"/>
        <v>0</v>
      </c>
      <c r="I1862" s="178">
        <f t="shared" si="57"/>
        <v>0</v>
      </c>
      <c r="J1862" s="109"/>
    </row>
    <row r="1863" spans="1:13" s="418" customFormat="1" hidden="1">
      <c r="A1863" s="1567" t="s">
        <v>44</v>
      </c>
      <c r="B1863" s="369"/>
      <c r="C1863" s="590"/>
      <c r="D1863" s="590"/>
      <c r="E1863" s="590"/>
      <c r="F1863" s="247"/>
      <c r="G1863" s="247"/>
      <c r="H1863" s="178">
        <f t="shared" si="56"/>
        <v>0</v>
      </c>
      <c r="I1863" s="178">
        <f t="shared" si="57"/>
        <v>0</v>
      </c>
      <c r="K1863" s="520"/>
      <c r="L1863" s="519"/>
      <c r="M1863" s="519"/>
    </row>
    <row r="1864" spans="1:13" hidden="1">
      <c r="A1864" s="1558"/>
      <c r="B1864" s="533"/>
      <c r="C1864" s="587"/>
      <c r="D1864" s="587"/>
      <c r="E1864" s="587"/>
      <c r="F1864" s="178"/>
      <c r="G1864" s="178"/>
      <c r="H1864" s="178">
        <f t="shared" si="56"/>
        <v>0</v>
      </c>
      <c r="I1864" s="178">
        <f t="shared" si="57"/>
        <v>0</v>
      </c>
      <c r="J1864" s="109"/>
    </row>
    <row r="1865" spans="1:13" hidden="1">
      <c r="A1865" s="1558"/>
      <c r="B1865" s="534"/>
      <c r="C1865" s="587"/>
      <c r="D1865" s="587"/>
      <c r="E1865" s="587"/>
      <c r="F1865" s="178"/>
      <c r="G1865" s="178"/>
      <c r="H1865" s="178">
        <f t="shared" ref="H1865:H1928" si="58">E1865+D1865-C1865</f>
        <v>0</v>
      </c>
      <c r="I1865" s="178">
        <f t="shared" ref="I1865:I1928" si="59">SUM(C1865:E1865)</f>
        <v>0</v>
      </c>
      <c r="J1865" s="109"/>
      <c r="K1865" s="518"/>
      <c r="L1865" s="519"/>
      <c r="M1865" s="519"/>
    </row>
    <row r="1866" spans="1:13" hidden="1">
      <c r="A1866" s="1558"/>
      <c r="B1866" s="209" t="s">
        <v>985</v>
      </c>
      <c r="C1866" s="581">
        <f>SUM(C1863:C1865)</f>
        <v>0</v>
      </c>
      <c r="D1866" s="581">
        <f>SUM(D1863:D1865)</f>
        <v>0</v>
      </c>
      <c r="E1866" s="581">
        <f>SUM(E1863:E1865)</f>
        <v>0</v>
      </c>
      <c r="F1866" s="481">
        <f>SUM(F1863:F1865)</f>
        <v>0</v>
      </c>
      <c r="G1866" s="481">
        <f>SUM(G1863:G1865)</f>
        <v>0</v>
      </c>
      <c r="H1866" s="178">
        <f t="shared" si="58"/>
        <v>0</v>
      </c>
      <c r="I1866" s="178">
        <f t="shared" si="59"/>
        <v>0</v>
      </c>
      <c r="J1866" s="109"/>
    </row>
    <row r="1867" spans="1:13" s="109" customFormat="1" hidden="1">
      <c r="A1867" s="1558" t="s">
        <v>355</v>
      </c>
      <c r="B1867" s="530"/>
      <c r="C1867" s="573"/>
      <c r="D1867" s="573"/>
      <c r="E1867" s="573"/>
      <c r="F1867" s="247"/>
      <c r="G1867" s="247"/>
      <c r="H1867" s="178">
        <f t="shared" si="58"/>
        <v>0</v>
      </c>
      <c r="I1867" s="178">
        <f t="shared" si="59"/>
        <v>0</v>
      </c>
    </row>
    <row r="1868" spans="1:13" hidden="1">
      <c r="A1868" s="1558"/>
      <c r="B1868" s="209" t="s">
        <v>985</v>
      </c>
      <c r="C1868" s="588">
        <f>SUM(C1867:C1867)</f>
        <v>0</v>
      </c>
      <c r="D1868" s="588">
        <f>SUM(D1867:D1867)</f>
        <v>0</v>
      </c>
      <c r="E1868" s="588">
        <f>SUM(E1867:E1867)</f>
        <v>0</v>
      </c>
      <c r="F1868" s="115">
        <f>SUM(F1867:F1867)</f>
        <v>0</v>
      </c>
      <c r="G1868" s="115">
        <f>SUM(G1867:G1867)</f>
        <v>0</v>
      </c>
      <c r="H1868" s="178">
        <f t="shared" si="58"/>
        <v>0</v>
      </c>
      <c r="I1868" s="178">
        <f t="shared" si="59"/>
        <v>0</v>
      </c>
      <c r="J1868" s="109"/>
    </row>
    <row r="1869" spans="1:13" s="109" customFormat="1" ht="93.75" hidden="1">
      <c r="A1869" s="1558" t="s">
        <v>359</v>
      </c>
      <c r="B1869" s="425" t="s">
        <v>906</v>
      </c>
      <c r="C1869" s="561"/>
      <c r="D1869" s="561"/>
      <c r="E1869" s="561"/>
      <c r="F1869" s="247"/>
      <c r="G1869" s="247"/>
      <c r="H1869" s="178">
        <f t="shared" si="58"/>
        <v>0</v>
      </c>
      <c r="I1869" s="178">
        <f t="shared" si="59"/>
        <v>0</v>
      </c>
    </row>
    <row r="1870" spans="1:13" hidden="1">
      <c r="A1870" s="1558"/>
      <c r="B1870" s="428" t="s">
        <v>199</v>
      </c>
      <c r="C1870" s="559">
        <f>SUM(C1869:C1869)</f>
        <v>0</v>
      </c>
      <c r="D1870" s="559">
        <f>SUM(D1869:D1869)</f>
        <v>0</v>
      </c>
      <c r="E1870" s="559">
        <f>SUM(E1869:E1869)</f>
        <v>0</v>
      </c>
      <c r="F1870" s="115">
        <f>SUM(F1869:F1869)</f>
        <v>0</v>
      </c>
      <c r="G1870" s="115">
        <f>SUM(G1869:G1869)</f>
        <v>0</v>
      </c>
      <c r="H1870" s="178">
        <f t="shared" si="58"/>
        <v>0</v>
      </c>
      <c r="I1870" s="178">
        <f t="shared" si="59"/>
        <v>0</v>
      </c>
      <c r="J1870" s="109"/>
    </row>
    <row r="1871" spans="1:13" s="109" customFormat="1" hidden="1">
      <c r="A1871" s="1558" t="s">
        <v>360</v>
      </c>
      <c r="B1871" s="530"/>
      <c r="C1871" s="573"/>
      <c r="D1871" s="573"/>
      <c r="E1871" s="573"/>
      <c r="F1871" s="247"/>
      <c r="G1871" s="247"/>
      <c r="H1871" s="178">
        <f t="shared" si="58"/>
        <v>0</v>
      </c>
      <c r="I1871" s="178">
        <f t="shared" si="59"/>
        <v>0</v>
      </c>
    </row>
    <row r="1872" spans="1:13" hidden="1">
      <c r="A1872" s="1558"/>
      <c r="B1872" s="209" t="s">
        <v>985</v>
      </c>
      <c r="C1872" s="588">
        <f>SUM(C1871:C1871)</f>
        <v>0</v>
      </c>
      <c r="D1872" s="588">
        <f>SUM(D1871:D1871)</f>
        <v>0</v>
      </c>
      <c r="E1872" s="588">
        <f>SUM(E1871:E1871)</f>
        <v>0</v>
      </c>
      <c r="F1872" s="115">
        <f>SUM(F1871:F1871)</f>
        <v>0</v>
      </c>
      <c r="G1872" s="115">
        <f>SUM(G1871:G1871)</f>
        <v>0</v>
      </c>
      <c r="H1872" s="178">
        <f t="shared" si="58"/>
        <v>0</v>
      </c>
      <c r="I1872" s="178">
        <f t="shared" si="59"/>
        <v>0</v>
      </c>
      <c r="J1872" s="109"/>
    </row>
    <row r="1873" spans="1:11" s="109" customFormat="1" hidden="1">
      <c r="A1873" s="1558" t="s">
        <v>361</v>
      </c>
      <c r="B1873" s="530"/>
      <c r="C1873" s="573"/>
      <c r="D1873" s="573"/>
      <c r="E1873" s="573"/>
      <c r="F1873" s="247"/>
      <c r="G1873" s="247"/>
      <c r="H1873" s="178">
        <f t="shared" si="58"/>
        <v>0</v>
      </c>
      <c r="I1873" s="178">
        <f t="shared" si="59"/>
        <v>0</v>
      </c>
    </row>
    <row r="1874" spans="1:11" s="109" customFormat="1" hidden="1">
      <c r="A1874" s="1558"/>
      <c r="B1874" s="530"/>
      <c r="C1874" s="573"/>
      <c r="D1874" s="573"/>
      <c r="E1874" s="573"/>
      <c r="F1874" s="247"/>
      <c r="G1874" s="247"/>
      <c r="H1874" s="178">
        <f t="shared" si="58"/>
        <v>0</v>
      </c>
      <c r="I1874" s="178">
        <f t="shared" si="59"/>
        <v>0</v>
      </c>
    </row>
    <row r="1875" spans="1:11" s="109" customFormat="1" hidden="1">
      <c r="A1875" s="1558"/>
      <c r="B1875" s="530"/>
      <c r="C1875" s="573"/>
      <c r="D1875" s="573"/>
      <c r="E1875" s="573"/>
      <c r="F1875" s="247"/>
      <c r="G1875" s="247"/>
      <c r="H1875" s="178">
        <f t="shared" si="58"/>
        <v>0</v>
      </c>
      <c r="I1875" s="178">
        <f t="shared" si="59"/>
        <v>0</v>
      </c>
    </row>
    <row r="1876" spans="1:11" s="109" customFormat="1" hidden="1">
      <c r="A1876" s="1558"/>
      <c r="B1876" s="425"/>
      <c r="C1876" s="561"/>
      <c r="D1876" s="561"/>
      <c r="E1876" s="561"/>
      <c r="F1876" s="247"/>
      <c r="G1876" s="247"/>
      <c r="H1876" s="178">
        <f t="shared" si="58"/>
        <v>0</v>
      </c>
      <c r="I1876" s="178">
        <f t="shared" si="59"/>
        <v>0</v>
      </c>
    </row>
    <row r="1877" spans="1:11" hidden="1">
      <c r="A1877" s="1558"/>
      <c r="B1877" s="209" t="s">
        <v>985</v>
      </c>
      <c r="C1877" s="588">
        <f>SUM(C1873:C1876)</f>
        <v>0</v>
      </c>
      <c r="D1877" s="588">
        <f>SUM(D1873:D1876)</f>
        <v>0</v>
      </c>
      <c r="E1877" s="588">
        <f>SUM(E1873:E1876)</f>
        <v>0</v>
      </c>
      <c r="F1877" s="115">
        <f>SUM(F1873:F1873)</f>
        <v>0</v>
      </c>
      <c r="G1877" s="115">
        <f>SUM(G1873:G1873)</f>
        <v>0</v>
      </c>
      <c r="H1877" s="178">
        <f t="shared" si="58"/>
        <v>0</v>
      </c>
      <c r="I1877" s="178">
        <f t="shared" si="59"/>
        <v>0</v>
      </c>
      <c r="J1877" s="109"/>
    </row>
    <row r="1878" spans="1:11" s="109" customFormat="1" hidden="1">
      <c r="A1878" s="1558" t="s">
        <v>362</v>
      </c>
      <c r="B1878" s="425"/>
      <c r="C1878" s="561"/>
      <c r="D1878" s="561"/>
      <c r="E1878" s="561"/>
      <c r="F1878" s="247"/>
      <c r="G1878" s="247"/>
      <c r="H1878" s="178">
        <f t="shared" si="58"/>
        <v>0</v>
      </c>
      <c r="I1878" s="178">
        <f t="shared" si="59"/>
        <v>0</v>
      </c>
    </row>
    <row r="1879" spans="1:11" hidden="1">
      <c r="A1879" s="1558"/>
      <c r="B1879" s="428" t="s">
        <v>199</v>
      </c>
      <c r="C1879" s="559">
        <f>SUM(C1878:C1878)</f>
        <v>0</v>
      </c>
      <c r="D1879" s="559">
        <f>SUM(D1878:D1878)</f>
        <v>0</v>
      </c>
      <c r="E1879" s="559">
        <f>SUM(E1878:E1878)</f>
        <v>0</v>
      </c>
      <c r="F1879" s="115">
        <f>SUM(F1878:F1878)</f>
        <v>0</v>
      </c>
      <c r="G1879" s="115">
        <f>SUM(G1878:G1878)</f>
        <v>0</v>
      </c>
      <c r="H1879" s="178">
        <f t="shared" si="58"/>
        <v>0</v>
      </c>
      <c r="I1879" s="178">
        <f t="shared" si="59"/>
        <v>0</v>
      </c>
      <c r="J1879" s="109"/>
    </row>
    <row r="1880" spans="1:11" s="109" customFormat="1" ht="84" hidden="1" customHeight="1">
      <c r="A1880" s="1558" t="s">
        <v>363</v>
      </c>
      <c r="B1880" s="425"/>
      <c r="C1880" s="561"/>
      <c r="D1880" s="561"/>
      <c r="E1880" s="561"/>
      <c r="F1880" s="247"/>
      <c r="G1880" s="247"/>
      <c r="H1880" s="178">
        <f t="shared" si="58"/>
        <v>0</v>
      </c>
      <c r="I1880" s="178">
        <f t="shared" si="59"/>
        <v>0</v>
      </c>
    </row>
    <row r="1881" spans="1:11" hidden="1">
      <c r="A1881" s="1558"/>
      <c r="B1881" s="428" t="s">
        <v>199</v>
      </c>
      <c r="C1881" s="559">
        <f>SUM(C1880:C1880)</f>
        <v>0</v>
      </c>
      <c r="D1881" s="559">
        <f>SUM(D1880:D1880)</f>
        <v>0</v>
      </c>
      <c r="E1881" s="559">
        <f>SUM(E1880:E1880)</f>
        <v>0</v>
      </c>
      <c r="F1881" s="115">
        <f>SUM(F1880:F1880)</f>
        <v>0</v>
      </c>
      <c r="G1881" s="115">
        <f>SUM(G1880:G1880)</f>
        <v>0</v>
      </c>
      <c r="H1881" s="178">
        <f t="shared" si="58"/>
        <v>0</v>
      </c>
      <c r="I1881" s="178">
        <f t="shared" si="59"/>
        <v>0</v>
      </c>
      <c r="J1881" s="109"/>
    </row>
    <row r="1882" spans="1:11" s="109" customFormat="1" hidden="1">
      <c r="A1882" s="1558" t="s">
        <v>382</v>
      </c>
      <c r="B1882" s="425"/>
      <c r="C1882" s="561"/>
      <c r="D1882" s="561"/>
      <c r="E1882" s="561"/>
      <c r="F1882" s="180"/>
      <c r="G1882" s="180"/>
      <c r="H1882" s="178">
        <f t="shared" si="58"/>
        <v>0</v>
      </c>
      <c r="I1882" s="178">
        <f t="shared" si="59"/>
        <v>0</v>
      </c>
    </row>
    <row r="1883" spans="1:11" hidden="1">
      <c r="A1883" s="1558"/>
      <c r="B1883" s="428" t="s">
        <v>199</v>
      </c>
      <c r="C1883" s="559">
        <f>SUM(C1882:C1882)</f>
        <v>0</v>
      </c>
      <c r="D1883" s="559">
        <f>SUM(D1882:D1882)</f>
        <v>0</v>
      </c>
      <c r="E1883" s="559">
        <f>SUM(E1882:E1882)</f>
        <v>0</v>
      </c>
      <c r="F1883" s="115">
        <f>SUM(F1882:F1882)</f>
        <v>0</v>
      </c>
      <c r="G1883" s="115">
        <f>SUM(G1882:G1882)</f>
        <v>0</v>
      </c>
      <c r="H1883" s="178">
        <f t="shared" si="58"/>
        <v>0</v>
      </c>
      <c r="I1883" s="178">
        <f t="shared" si="59"/>
        <v>0</v>
      </c>
      <c r="J1883" s="109"/>
    </row>
    <row r="1884" spans="1:11" ht="56.25">
      <c r="A1884" s="1553" t="s">
        <v>1129</v>
      </c>
      <c r="B1884" s="1174" t="s">
        <v>1248</v>
      </c>
      <c r="C1884" s="510">
        <v>30000</v>
      </c>
      <c r="D1884" s="510">
        <v>30000</v>
      </c>
      <c r="E1884" s="510"/>
      <c r="F1884" s="245"/>
      <c r="G1884" s="245"/>
      <c r="H1884" s="1436">
        <f t="shared" si="58"/>
        <v>0</v>
      </c>
      <c r="I1884" s="1436">
        <f t="shared" si="59"/>
        <v>60000</v>
      </c>
      <c r="J1884" s="1439"/>
      <c r="K1884" s="1435"/>
    </row>
    <row r="1885" spans="1:11" ht="37.5">
      <c r="A1885" s="1554"/>
      <c r="B1885" s="1373" t="s">
        <v>1246</v>
      </c>
      <c r="C1885" s="1374">
        <v>585000</v>
      </c>
      <c r="D1885" s="1374"/>
      <c r="E1885" s="1374">
        <v>585000</v>
      </c>
      <c r="F1885" s="1375"/>
      <c r="G1885" s="1375"/>
      <c r="H1885" s="1436">
        <f t="shared" si="58"/>
        <v>0</v>
      </c>
      <c r="I1885" s="1436">
        <f t="shared" si="59"/>
        <v>1170000</v>
      </c>
      <c r="J1885" s="1439"/>
      <c r="K1885" s="1435"/>
    </row>
    <row r="1886" spans="1:11" s="418" customFormat="1" ht="67.5" customHeight="1">
      <c r="A1886" s="1554"/>
      <c r="B1886" s="1378" t="s">
        <v>2027</v>
      </c>
      <c r="C1886" s="1379">
        <v>28033</v>
      </c>
      <c r="D1886" s="1379"/>
      <c r="E1886" s="1380">
        <v>28033</v>
      </c>
      <c r="F1886" s="1381"/>
      <c r="G1886" s="1381"/>
      <c r="H1886" s="1436">
        <f t="shared" si="58"/>
        <v>0</v>
      </c>
      <c r="I1886" s="1436">
        <f t="shared" si="59"/>
        <v>56066</v>
      </c>
      <c r="J1886" s="1439"/>
      <c r="K1886" s="1443"/>
    </row>
    <row r="1887" spans="1:11" s="411" customFormat="1" ht="75">
      <c r="A1887" s="1554"/>
      <c r="B1887" s="1378" t="s">
        <v>2028</v>
      </c>
      <c r="C1887" s="1379">
        <v>42000</v>
      </c>
      <c r="D1887" s="1379"/>
      <c r="E1887" s="1380">
        <v>42000</v>
      </c>
      <c r="F1887" s="1381"/>
      <c r="G1887" s="1381"/>
      <c r="H1887" s="1436">
        <f t="shared" si="58"/>
        <v>0</v>
      </c>
      <c r="I1887" s="1436">
        <f t="shared" si="59"/>
        <v>84000</v>
      </c>
      <c r="J1887" s="1439"/>
      <c r="K1887" s="1443"/>
    </row>
    <row r="1888" spans="1:11" s="411" customFormat="1" hidden="1">
      <c r="A1888" s="1554"/>
      <c r="B1888" s="414"/>
      <c r="C1888" s="561"/>
      <c r="D1888" s="561"/>
      <c r="E1888" s="493"/>
      <c r="F1888" s="413"/>
      <c r="G1888" s="413"/>
      <c r="H1888" s="178">
        <f t="shared" si="58"/>
        <v>0</v>
      </c>
      <c r="I1888" s="178">
        <f t="shared" si="59"/>
        <v>0</v>
      </c>
      <c r="J1888" s="109"/>
    </row>
    <row r="1889" spans="1:11">
      <c r="A1889" s="1555"/>
      <c r="B1889" s="209" t="s">
        <v>985</v>
      </c>
      <c r="C1889" s="581">
        <f>SUBTOTAL(9,C1884:C1888)</f>
        <v>685033</v>
      </c>
      <c r="D1889" s="581">
        <f>SUBTOTAL(9,D1884:D1888)</f>
        <v>30000</v>
      </c>
      <c r="E1889" s="581">
        <f>SUBTOTAL(9,E1884:E1888)</f>
        <v>655033</v>
      </c>
      <c r="F1889" s="115">
        <f>SUBTOTAL(9,F1884:F1886)</f>
        <v>0</v>
      </c>
      <c r="G1889" s="115">
        <f>SUBTOTAL(9,G1884:G1886)</f>
        <v>0</v>
      </c>
      <c r="H1889" s="1436">
        <f t="shared" si="58"/>
        <v>0</v>
      </c>
      <c r="I1889" s="1436">
        <f t="shared" si="59"/>
        <v>1370066</v>
      </c>
      <c r="J1889" s="1439"/>
      <c r="K1889" s="1435"/>
    </row>
    <row r="1890" spans="1:11" s="527" customFormat="1" ht="87" customHeight="1">
      <c r="A1890" s="1558" t="s">
        <v>1098</v>
      </c>
      <c r="B1890" s="1373" t="s">
        <v>2024</v>
      </c>
      <c r="C1890" s="1374">
        <v>585000</v>
      </c>
      <c r="D1890" s="1374"/>
      <c r="E1890" s="1374">
        <v>585000</v>
      </c>
      <c r="F1890" s="1377"/>
      <c r="G1890" s="1377"/>
      <c r="H1890" s="1436">
        <f t="shared" si="58"/>
        <v>0</v>
      </c>
      <c r="I1890" s="1436">
        <f t="shared" si="59"/>
        <v>1170000</v>
      </c>
      <c r="J1890" s="1439"/>
      <c r="K1890" s="1435"/>
    </row>
    <row r="1891" spans="1:11" hidden="1">
      <c r="A1891" s="1558"/>
      <c r="B1891" s="530"/>
      <c r="C1891" s="526"/>
      <c r="D1891" s="526"/>
      <c r="E1891" s="526"/>
      <c r="F1891" s="178"/>
      <c r="G1891" s="178"/>
      <c r="H1891" s="178">
        <f t="shared" si="58"/>
        <v>0</v>
      </c>
      <c r="I1891" s="178">
        <f t="shared" si="59"/>
        <v>0</v>
      </c>
      <c r="J1891" s="109"/>
    </row>
    <row r="1892" spans="1:11" hidden="1">
      <c r="A1892" s="1558"/>
      <c r="B1892" s="530"/>
      <c r="C1892" s="526"/>
      <c r="D1892" s="526"/>
      <c r="E1892" s="526"/>
      <c r="F1892" s="178"/>
      <c r="G1892" s="178"/>
      <c r="H1892" s="178">
        <f t="shared" si="58"/>
        <v>0</v>
      </c>
      <c r="I1892" s="178">
        <f t="shared" si="59"/>
        <v>0</v>
      </c>
      <c r="J1892" s="109"/>
    </row>
    <row r="1893" spans="1:11" hidden="1">
      <c r="A1893" s="1558"/>
      <c r="B1893" s="480"/>
      <c r="C1893" s="593"/>
      <c r="D1893" s="593"/>
      <c r="E1893" s="590"/>
      <c r="F1893" s="178"/>
      <c r="G1893" s="178"/>
      <c r="H1893" s="178">
        <f t="shared" si="58"/>
        <v>0</v>
      </c>
      <c r="I1893" s="178">
        <f t="shared" si="59"/>
        <v>0</v>
      </c>
      <c r="J1893" s="109"/>
    </row>
    <row r="1894" spans="1:11">
      <c r="A1894" s="1558"/>
      <c r="B1894" s="209" t="s">
        <v>985</v>
      </c>
      <c r="C1894" s="581">
        <f>SUM(C1890:C1893)</f>
        <v>585000</v>
      </c>
      <c r="D1894" s="581">
        <f>SUM(D1890:D1893)</f>
        <v>0</v>
      </c>
      <c r="E1894" s="581">
        <f>SUM(E1890:E1893)</f>
        <v>585000</v>
      </c>
      <c r="F1894" s="115">
        <f>F1890</f>
        <v>0</v>
      </c>
      <c r="G1894" s="115">
        <f>G1890</f>
        <v>0</v>
      </c>
      <c r="H1894" s="1436">
        <f t="shared" si="58"/>
        <v>0</v>
      </c>
      <c r="I1894" s="1436">
        <f t="shared" si="59"/>
        <v>1170000</v>
      </c>
      <c r="J1894" s="1439"/>
      <c r="K1894" s="1435"/>
    </row>
    <row r="1895" spans="1:11" hidden="1">
      <c r="A1895" s="1558" t="s">
        <v>384</v>
      </c>
      <c r="B1895" s="425"/>
      <c r="C1895" s="561"/>
      <c r="D1895" s="561"/>
      <c r="E1895" s="561"/>
      <c r="F1895" s="178">
        <v>0</v>
      </c>
      <c r="G1895" s="178">
        <v>0</v>
      </c>
      <c r="H1895" s="178">
        <f t="shared" si="58"/>
        <v>0</v>
      </c>
      <c r="I1895" s="178">
        <f t="shared" si="59"/>
        <v>0</v>
      </c>
      <c r="J1895" s="109"/>
    </row>
    <row r="1896" spans="1:11" hidden="1">
      <c r="A1896" s="1558"/>
      <c r="B1896" s="428" t="s">
        <v>199</v>
      </c>
      <c r="C1896" s="559">
        <f>C1895</f>
        <v>0</v>
      </c>
      <c r="D1896" s="559">
        <f>D1895</f>
        <v>0</v>
      </c>
      <c r="E1896" s="559">
        <f>E1895</f>
        <v>0</v>
      </c>
      <c r="F1896" s="178">
        <v>0</v>
      </c>
      <c r="G1896" s="178">
        <v>0</v>
      </c>
      <c r="H1896" s="178">
        <f t="shared" si="58"/>
        <v>0</v>
      </c>
      <c r="I1896" s="178">
        <f t="shared" si="59"/>
        <v>0</v>
      </c>
      <c r="J1896" s="109"/>
    </row>
    <row r="1897" spans="1:11" ht="57" customHeight="1">
      <c r="A1897" s="1558" t="s">
        <v>1120</v>
      </c>
      <c r="B1897" s="1174" t="s">
        <v>1247</v>
      </c>
      <c r="C1897" s="510">
        <v>150000</v>
      </c>
      <c r="D1897" s="510"/>
      <c r="E1897" s="510">
        <v>150000</v>
      </c>
      <c r="F1897" s="178">
        <v>0</v>
      </c>
      <c r="G1897" s="178">
        <v>0</v>
      </c>
      <c r="H1897" s="1436">
        <f t="shared" si="58"/>
        <v>0</v>
      </c>
      <c r="I1897" s="1436">
        <f t="shared" si="59"/>
        <v>300000</v>
      </c>
      <c r="J1897" s="1439"/>
      <c r="K1897" s="1435"/>
    </row>
    <row r="1898" spans="1:11" ht="57" customHeight="1">
      <c r="A1898" s="1558"/>
      <c r="B1898" s="1412" t="s">
        <v>1246</v>
      </c>
      <c r="C1898" s="526">
        <v>579150</v>
      </c>
      <c r="D1898" s="526"/>
      <c r="E1898" s="526">
        <v>579150</v>
      </c>
      <c r="F1898" s="178"/>
      <c r="G1898" s="178"/>
      <c r="H1898" s="1436">
        <f t="shared" si="58"/>
        <v>0</v>
      </c>
      <c r="I1898" s="1436">
        <f t="shared" si="59"/>
        <v>1158300</v>
      </c>
      <c r="J1898" s="1439"/>
      <c r="K1898" s="1435"/>
    </row>
    <row r="1899" spans="1:11" ht="24.6" customHeight="1">
      <c r="A1899" s="1558"/>
      <c r="B1899" s="209" t="s">
        <v>985</v>
      </c>
      <c r="C1899" s="581">
        <f>SUM(C1897:C1898)</f>
        <v>729150</v>
      </c>
      <c r="D1899" s="581">
        <f>SUM(D1897:D1898)</f>
        <v>0</v>
      </c>
      <c r="E1899" s="581">
        <f>SUM(E1897:E1898)</f>
        <v>729150</v>
      </c>
      <c r="F1899" s="178">
        <v>0</v>
      </c>
      <c r="G1899" s="178">
        <v>0</v>
      </c>
      <c r="H1899" s="1436">
        <f t="shared" si="58"/>
        <v>0</v>
      </c>
      <c r="I1899" s="1436">
        <f t="shared" si="59"/>
        <v>1458300</v>
      </c>
      <c r="J1899" s="1439"/>
      <c r="K1899" s="1435"/>
    </row>
    <row r="1900" spans="1:11" ht="171" hidden="1" customHeight="1">
      <c r="A1900" s="1558" t="s">
        <v>830</v>
      </c>
      <c r="B1900" s="516" t="s">
        <v>907</v>
      </c>
      <c r="C1900" s="595">
        <f>500000-500000</f>
        <v>0</v>
      </c>
      <c r="D1900" s="595"/>
      <c r="E1900" s="596">
        <f>500000-500000</f>
        <v>0</v>
      </c>
      <c r="F1900" s="178">
        <v>0</v>
      </c>
      <c r="G1900" s="178">
        <v>0</v>
      </c>
      <c r="H1900" s="178">
        <f t="shared" si="58"/>
        <v>0</v>
      </c>
      <c r="I1900" s="178">
        <f t="shared" si="59"/>
        <v>0</v>
      </c>
      <c r="J1900" s="109"/>
    </row>
    <row r="1901" spans="1:11" hidden="1">
      <c r="A1901" s="1558"/>
      <c r="B1901" s="428" t="s">
        <v>199</v>
      </c>
      <c r="C1901" s="560">
        <f>C1900</f>
        <v>0</v>
      </c>
      <c r="D1901" s="560">
        <f>D1900</f>
        <v>0</v>
      </c>
      <c r="E1901" s="581">
        <f>E1900</f>
        <v>0</v>
      </c>
      <c r="F1901" s="178">
        <v>0</v>
      </c>
      <c r="G1901" s="178">
        <v>0</v>
      </c>
      <c r="H1901" s="178">
        <f t="shared" si="58"/>
        <v>0</v>
      </c>
      <c r="I1901" s="178">
        <f t="shared" si="59"/>
        <v>0</v>
      </c>
      <c r="J1901" s="109"/>
    </row>
    <row r="1902" spans="1:11" hidden="1">
      <c r="A1902" s="1553" t="s">
        <v>39</v>
      </c>
      <c r="B1902" s="533"/>
      <c r="C1902" s="587"/>
      <c r="D1902" s="587"/>
      <c r="E1902" s="587"/>
      <c r="F1902" s="115"/>
      <c r="G1902" s="115"/>
      <c r="H1902" s="178">
        <f t="shared" si="58"/>
        <v>0</v>
      </c>
      <c r="I1902" s="178">
        <f t="shared" si="59"/>
        <v>0</v>
      </c>
      <c r="J1902" s="109"/>
    </row>
    <row r="1903" spans="1:11" s="376" customFormat="1" hidden="1">
      <c r="A1903" s="1554"/>
      <c r="B1903" s="371"/>
      <c r="C1903" s="826"/>
      <c r="D1903" s="826"/>
      <c r="E1903" s="826"/>
      <c r="F1903" s="822"/>
      <c r="G1903" s="822"/>
      <c r="H1903" s="178">
        <f t="shared" si="58"/>
        <v>0</v>
      </c>
      <c r="I1903" s="178">
        <f t="shared" si="59"/>
        <v>0</v>
      </c>
      <c r="J1903" s="823"/>
    </row>
    <row r="1904" spans="1:11" hidden="1">
      <c r="A1904" s="1555"/>
      <c r="B1904" s="209" t="s">
        <v>985</v>
      </c>
      <c r="C1904" s="588">
        <f>C1902+C1903</f>
        <v>0</v>
      </c>
      <c r="D1904" s="588">
        <f>D1902+D1903</f>
        <v>0</v>
      </c>
      <c r="E1904" s="588">
        <f>E1902+E1903</f>
        <v>0</v>
      </c>
      <c r="F1904" s="115"/>
      <c r="G1904" s="115"/>
      <c r="H1904" s="178">
        <f t="shared" si="58"/>
        <v>0</v>
      </c>
      <c r="I1904" s="178">
        <f t="shared" si="59"/>
        <v>0</v>
      </c>
      <c r="J1904" s="109"/>
    </row>
    <row r="1905" spans="1:11" hidden="1">
      <c r="A1905" s="1553" t="s">
        <v>252</v>
      </c>
      <c r="B1905" s="533"/>
      <c r="C1905" s="587"/>
      <c r="D1905" s="587"/>
      <c r="E1905" s="587"/>
      <c r="F1905" s="115"/>
      <c r="G1905" s="115"/>
      <c r="H1905" s="178">
        <f t="shared" si="58"/>
        <v>0</v>
      </c>
      <c r="I1905" s="178">
        <f t="shared" si="59"/>
        <v>0</v>
      </c>
      <c r="J1905" s="109"/>
    </row>
    <row r="1906" spans="1:11" hidden="1">
      <c r="A1906" s="1554"/>
      <c r="B1906" s="533"/>
      <c r="C1906" s="587"/>
      <c r="D1906" s="587"/>
      <c r="E1906" s="587"/>
      <c r="F1906" s="115"/>
      <c r="G1906" s="115"/>
      <c r="H1906" s="178">
        <f t="shared" si="58"/>
        <v>0</v>
      </c>
      <c r="I1906" s="178">
        <f t="shared" si="59"/>
        <v>0</v>
      </c>
      <c r="J1906" s="109"/>
    </row>
    <row r="1907" spans="1:11" hidden="1">
      <c r="A1907" s="1555"/>
      <c r="B1907" s="209" t="s">
        <v>985</v>
      </c>
      <c r="C1907" s="588">
        <f>SUM(C1905:C1906)</f>
        <v>0</v>
      </c>
      <c r="D1907" s="588">
        <f>SUM(D1905:D1906)</f>
        <v>0</v>
      </c>
      <c r="E1907" s="588">
        <f>SUM(E1905:E1906)</f>
        <v>0</v>
      </c>
      <c r="F1907" s="115"/>
      <c r="G1907" s="115"/>
      <c r="H1907" s="178">
        <f t="shared" si="58"/>
        <v>0</v>
      </c>
      <c r="I1907" s="178">
        <f t="shared" si="59"/>
        <v>0</v>
      </c>
      <c r="J1907" s="109"/>
    </row>
    <row r="1908" spans="1:11" ht="37.5">
      <c r="A1908" s="1553" t="s">
        <v>1122</v>
      </c>
      <c r="B1908" s="1180" t="s">
        <v>1246</v>
      </c>
      <c r="C1908" s="1181">
        <v>585000</v>
      </c>
      <c r="D1908" s="1181"/>
      <c r="E1908" s="1181">
        <v>585000</v>
      </c>
      <c r="F1908" s="1177"/>
      <c r="G1908" s="1177"/>
      <c r="H1908" s="1436">
        <f t="shared" si="58"/>
        <v>0</v>
      </c>
      <c r="I1908" s="1436">
        <f t="shared" si="59"/>
        <v>1170000</v>
      </c>
      <c r="J1908" s="1439"/>
      <c r="K1908" s="1435"/>
    </row>
    <row r="1909" spans="1:11" hidden="1">
      <c r="A1909" s="1554"/>
      <c r="B1909" s="530"/>
      <c r="C1909" s="587"/>
      <c r="D1909" s="587"/>
      <c r="E1909" s="587"/>
      <c r="F1909" s="115"/>
      <c r="G1909" s="115"/>
      <c r="H1909" s="178">
        <f t="shared" si="58"/>
        <v>0</v>
      </c>
      <c r="I1909" s="178">
        <f t="shared" si="59"/>
        <v>0</v>
      </c>
      <c r="J1909" s="109"/>
    </row>
    <row r="1910" spans="1:11">
      <c r="A1910" s="1555"/>
      <c r="B1910" s="209" t="s">
        <v>985</v>
      </c>
      <c r="C1910" s="588">
        <f>C1908+C1909</f>
        <v>585000</v>
      </c>
      <c r="D1910" s="588">
        <f>D1908+D1909</f>
        <v>0</v>
      </c>
      <c r="E1910" s="588">
        <f>E1908+E1909</f>
        <v>585000</v>
      </c>
      <c r="F1910" s="115"/>
      <c r="G1910" s="115"/>
      <c r="H1910" s="1436">
        <f t="shared" si="58"/>
        <v>0</v>
      </c>
      <c r="I1910" s="1436">
        <f t="shared" si="59"/>
        <v>1170000</v>
      </c>
      <c r="J1910" s="1439"/>
      <c r="K1910" s="1435"/>
    </row>
    <row r="1911" spans="1:11" ht="63.6" customHeight="1">
      <c r="A1911" s="1553" t="s">
        <v>1109</v>
      </c>
      <c r="B1911" s="1174" t="s">
        <v>1246</v>
      </c>
      <c r="C1911" s="510">
        <v>585000</v>
      </c>
      <c r="D1911" s="510"/>
      <c r="E1911" s="510">
        <v>585000</v>
      </c>
      <c r="F1911" s="115"/>
      <c r="G1911" s="115"/>
      <c r="H1911" s="1436">
        <f t="shared" si="58"/>
        <v>0</v>
      </c>
      <c r="I1911" s="1436">
        <f t="shared" si="59"/>
        <v>1170000</v>
      </c>
      <c r="J1911" s="1439"/>
      <c r="K1911" s="1435"/>
    </row>
    <row r="1912" spans="1:11">
      <c r="A1912" s="1555"/>
      <c r="B1912" s="209" t="s">
        <v>985</v>
      </c>
      <c r="C1912" s="588">
        <f>C1911</f>
        <v>585000</v>
      </c>
      <c r="D1912" s="588">
        <f>D1911</f>
        <v>0</v>
      </c>
      <c r="E1912" s="588">
        <f>E1911</f>
        <v>585000</v>
      </c>
      <c r="F1912" s="429">
        <f>SUM(F1911:F1911)</f>
        <v>0</v>
      </c>
      <c r="G1912" s="429">
        <f>SUM(G1911:G1911)</f>
        <v>0</v>
      </c>
      <c r="H1912" s="1436">
        <f t="shared" si="58"/>
        <v>0</v>
      </c>
      <c r="I1912" s="1436">
        <f t="shared" si="59"/>
        <v>1170000</v>
      </c>
      <c r="J1912" s="1439"/>
      <c r="K1912" s="1435"/>
    </row>
    <row r="1913" spans="1:11" ht="168.75">
      <c r="A1913" s="1553" t="s">
        <v>1106</v>
      </c>
      <c r="B1913" s="1175" t="s">
        <v>1278</v>
      </c>
      <c r="C1913" s="1182">
        <v>40000</v>
      </c>
      <c r="D1913" s="1182"/>
      <c r="E1913" s="1182">
        <v>40000</v>
      </c>
      <c r="F1913" s="1177"/>
      <c r="G1913" s="1177"/>
      <c r="H1913" s="1436">
        <f t="shared" si="58"/>
        <v>0</v>
      </c>
      <c r="I1913" s="1436">
        <f t="shared" si="59"/>
        <v>80000</v>
      </c>
      <c r="J1913" s="1439"/>
      <c r="K1913" s="1435"/>
    </row>
    <row r="1914" spans="1:11">
      <c r="A1914" s="1554"/>
      <c r="B1914" s="1175" t="s">
        <v>1279</v>
      </c>
      <c r="C1914" s="1182">
        <v>585000</v>
      </c>
      <c r="D1914" s="1182"/>
      <c r="E1914" s="1182">
        <v>585000</v>
      </c>
      <c r="F1914" s="115"/>
      <c r="G1914" s="115"/>
      <c r="H1914" s="1436">
        <f t="shared" si="58"/>
        <v>0</v>
      </c>
      <c r="I1914" s="1436">
        <f t="shared" si="59"/>
        <v>1170000</v>
      </c>
      <c r="J1914" s="1439"/>
      <c r="K1914" s="1435"/>
    </row>
    <row r="1915" spans="1:11" ht="90" customHeight="1">
      <c r="A1915" s="1554"/>
      <c r="B1915" s="1175" t="s">
        <v>1280</v>
      </c>
      <c r="C1915" s="1182">
        <v>11000</v>
      </c>
      <c r="D1915" s="1182"/>
      <c r="E1915" s="1182">
        <v>11000</v>
      </c>
      <c r="F1915" s="115"/>
      <c r="G1915" s="115"/>
      <c r="H1915" s="1436">
        <f t="shared" si="58"/>
        <v>0</v>
      </c>
      <c r="I1915" s="1436">
        <f t="shared" si="59"/>
        <v>22000</v>
      </c>
      <c r="J1915" s="1439"/>
      <c r="K1915" s="1435"/>
    </row>
    <row r="1916" spans="1:11" ht="56.25">
      <c r="A1916" s="1554"/>
      <c r="B1916" s="1175" t="s">
        <v>1281</v>
      </c>
      <c r="C1916" s="1182">
        <v>14000</v>
      </c>
      <c r="D1916" s="1182"/>
      <c r="E1916" s="1182">
        <v>14000</v>
      </c>
      <c r="F1916" s="115"/>
      <c r="G1916" s="115"/>
      <c r="H1916" s="1436">
        <f t="shared" si="58"/>
        <v>0</v>
      </c>
      <c r="I1916" s="1436">
        <f t="shared" si="59"/>
        <v>28000</v>
      </c>
      <c r="J1916" s="1439"/>
      <c r="K1916" s="1435"/>
    </row>
    <row r="1917" spans="1:11" hidden="1">
      <c r="A1917" s="1554"/>
      <c r="B1917" s="1175"/>
      <c r="C1917" s="1182"/>
      <c r="D1917" s="1182"/>
      <c r="E1917" s="1182"/>
      <c r="F1917" s="115"/>
      <c r="G1917" s="115"/>
      <c r="H1917" s="178">
        <f t="shared" si="58"/>
        <v>0</v>
      </c>
      <c r="I1917" s="178">
        <f t="shared" si="59"/>
        <v>0</v>
      </c>
      <c r="J1917" s="109"/>
    </row>
    <row r="1918" spans="1:11" hidden="1">
      <c r="A1918" s="1554"/>
      <c r="B1918" s="1175"/>
      <c r="C1918" s="1182"/>
      <c r="D1918" s="1182"/>
      <c r="E1918" s="1182"/>
      <c r="F1918" s="115"/>
      <c r="G1918" s="115"/>
      <c r="H1918" s="178">
        <f t="shared" si="58"/>
        <v>0</v>
      </c>
      <c r="I1918" s="178">
        <f t="shared" si="59"/>
        <v>0</v>
      </c>
      <c r="J1918" s="109"/>
    </row>
    <row r="1919" spans="1:11" hidden="1">
      <c r="A1919" s="1554"/>
      <c r="B1919" s="541"/>
      <c r="C1919" s="586"/>
      <c r="D1919" s="586"/>
      <c r="E1919" s="586"/>
      <c r="F1919" s="115"/>
      <c r="G1919" s="115"/>
      <c r="H1919" s="178">
        <f t="shared" si="58"/>
        <v>0</v>
      </c>
      <c r="I1919" s="178">
        <f t="shared" si="59"/>
        <v>0</v>
      </c>
      <c r="J1919" s="109"/>
    </row>
    <row r="1920" spans="1:11">
      <c r="A1920" s="1555"/>
      <c r="B1920" s="209" t="s">
        <v>985</v>
      </c>
      <c r="C1920" s="588">
        <f>SUM(C1913:C1919)</f>
        <v>650000</v>
      </c>
      <c r="D1920" s="588">
        <f>SUM(D1913:D1919)</f>
        <v>0</v>
      </c>
      <c r="E1920" s="588">
        <f>SUM(E1913:E1919)</f>
        <v>650000</v>
      </c>
      <c r="F1920" s="115"/>
      <c r="G1920" s="115"/>
      <c r="H1920" s="1436">
        <f t="shared" si="58"/>
        <v>0</v>
      </c>
      <c r="I1920" s="1436">
        <f t="shared" si="59"/>
        <v>1300000</v>
      </c>
      <c r="J1920" s="1439"/>
      <c r="K1920" s="1435"/>
    </row>
    <row r="1921" spans="1:11" hidden="1">
      <c r="A1921" s="1553" t="s">
        <v>893</v>
      </c>
      <c r="B1921" s="530"/>
      <c r="C1921" s="573"/>
      <c r="D1921" s="573"/>
      <c r="E1921" s="573"/>
      <c r="F1921" s="115"/>
      <c r="G1921" s="115"/>
      <c r="H1921" s="178">
        <f t="shared" si="58"/>
        <v>0</v>
      </c>
      <c r="I1921" s="178">
        <f t="shared" si="59"/>
        <v>0</v>
      </c>
      <c r="J1921" s="109"/>
    </row>
    <row r="1922" spans="1:11" hidden="1">
      <c r="A1922" s="1555"/>
      <c r="B1922" s="209" t="s">
        <v>985</v>
      </c>
      <c r="C1922" s="588">
        <f>C1921</f>
        <v>0</v>
      </c>
      <c r="D1922" s="588">
        <f>D1921</f>
        <v>0</v>
      </c>
      <c r="E1922" s="588">
        <f>E1921</f>
        <v>0</v>
      </c>
      <c r="F1922" s="115"/>
      <c r="G1922" s="115"/>
      <c r="H1922" s="178">
        <f t="shared" si="58"/>
        <v>0</v>
      </c>
      <c r="I1922" s="178">
        <f t="shared" si="59"/>
        <v>0</v>
      </c>
      <c r="J1922" s="109"/>
    </row>
    <row r="1923" spans="1:11" ht="37.5">
      <c r="A1923" s="1553" t="s">
        <v>1102</v>
      </c>
      <c r="B1923" s="1378" t="s">
        <v>2049</v>
      </c>
      <c r="C1923" s="1379">
        <v>14000</v>
      </c>
      <c r="D1923" s="1379"/>
      <c r="E1923" s="1380">
        <v>14000</v>
      </c>
      <c r="F1923" s="1381"/>
      <c r="G1923" s="1381"/>
      <c r="H1923" s="1436">
        <f t="shared" si="58"/>
        <v>0</v>
      </c>
      <c r="I1923" s="1436">
        <f t="shared" si="59"/>
        <v>28000</v>
      </c>
      <c r="J1923" s="1439"/>
      <c r="K1923" s="1435"/>
    </row>
    <row r="1924" spans="1:11" s="611" customFormat="1" hidden="1">
      <c r="A1924" s="1554"/>
      <c r="B1924" s="607"/>
      <c r="C1924" s="613"/>
      <c r="D1924" s="613"/>
      <c r="E1924" s="613"/>
      <c r="F1924" s="614"/>
      <c r="G1924" s="614"/>
      <c r="H1924" s="178">
        <f t="shared" si="58"/>
        <v>0</v>
      </c>
      <c r="I1924" s="178">
        <f t="shared" si="59"/>
        <v>0</v>
      </c>
      <c r="J1924" s="610"/>
    </row>
    <row r="1925" spans="1:11" ht="40.15" customHeight="1">
      <c r="A1925" s="1555"/>
      <c r="B1925" s="209" t="s">
        <v>985</v>
      </c>
      <c r="C1925" s="588">
        <f>C1923+C1924</f>
        <v>14000</v>
      </c>
      <c r="D1925" s="588">
        <f>D1923+D1924</f>
        <v>0</v>
      </c>
      <c r="E1925" s="588">
        <f>E1923+E1924</f>
        <v>14000</v>
      </c>
      <c r="F1925" s="115"/>
      <c r="G1925" s="115"/>
      <c r="H1925" s="1436">
        <f t="shared" si="58"/>
        <v>0</v>
      </c>
      <c r="I1925" s="1436">
        <f t="shared" si="59"/>
        <v>28000</v>
      </c>
      <c r="J1925" s="1439"/>
      <c r="K1925" s="1435"/>
    </row>
    <row r="1926" spans="1:11" hidden="1">
      <c r="A1926" s="1553" t="s">
        <v>645</v>
      </c>
      <c r="B1926" s="530"/>
      <c r="C1926" s="573"/>
      <c r="D1926" s="573"/>
      <c r="E1926" s="573"/>
      <c r="F1926" s="115"/>
      <c r="G1926" s="115"/>
      <c r="H1926" s="178">
        <f t="shared" si="58"/>
        <v>0</v>
      </c>
      <c r="I1926" s="178">
        <f t="shared" si="59"/>
        <v>0</v>
      </c>
      <c r="J1926" s="109"/>
    </row>
    <row r="1927" spans="1:11" hidden="1">
      <c r="A1927" s="1554"/>
      <c r="B1927" s="530"/>
      <c r="C1927" s="573"/>
      <c r="D1927" s="573"/>
      <c r="E1927" s="573"/>
      <c r="F1927" s="115"/>
      <c r="G1927" s="115"/>
      <c r="H1927" s="178">
        <f t="shared" si="58"/>
        <v>0</v>
      </c>
      <c r="I1927" s="178">
        <f t="shared" si="59"/>
        <v>0</v>
      </c>
      <c r="J1927" s="109"/>
    </row>
    <row r="1928" spans="1:11" hidden="1">
      <c r="A1928" s="1555"/>
      <c r="B1928" s="209" t="s">
        <v>985</v>
      </c>
      <c r="C1928" s="588">
        <f>C1926+C1927</f>
        <v>0</v>
      </c>
      <c r="D1928" s="588">
        <f>D1926+D1927</f>
        <v>0</v>
      </c>
      <c r="E1928" s="588">
        <f>E1926+E1927</f>
        <v>0</v>
      </c>
      <c r="F1928" s="115"/>
      <c r="G1928" s="115"/>
      <c r="H1928" s="178">
        <f t="shared" si="58"/>
        <v>0</v>
      </c>
      <c r="I1928" s="178">
        <f t="shared" si="59"/>
        <v>0</v>
      </c>
      <c r="J1928" s="109"/>
    </row>
    <row r="1929" spans="1:11" ht="37.5">
      <c r="A1929" s="1553" t="s">
        <v>1131</v>
      </c>
      <c r="B1929" s="1373" t="s">
        <v>1200</v>
      </c>
      <c r="C1929" s="1374">
        <f>570000+15000</f>
        <v>585000</v>
      </c>
      <c r="D1929" s="1374"/>
      <c r="E1929" s="1374">
        <f>570000+15000</f>
        <v>585000</v>
      </c>
      <c r="F1929" s="1377"/>
      <c r="G1929" s="1377"/>
      <c r="H1929" s="1436">
        <f t="shared" ref="H1929:H1992" si="60">E1929+D1929-C1929</f>
        <v>0</v>
      </c>
      <c r="I1929" s="1436">
        <f t="shared" ref="I1929:I1992" si="61">SUM(C1929:E1929)</f>
        <v>1170000</v>
      </c>
      <c r="J1929" s="1439"/>
      <c r="K1929" s="1435"/>
    </row>
    <row r="1930" spans="1:11" ht="42" customHeight="1">
      <c r="A1930" s="1555"/>
      <c r="B1930" s="209" t="s">
        <v>985</v>
      </c>
      <c r="C1930" s="588">
        <f>C1929</f>
        <v>585000</v>
      </c>
      <c r="D1930" s="588">
        <f>D1929</f>
        <v>0</v>
      </c>
      <c r="E1930" s="588">
        <f>E1929</f>
        <v>585000</v>
      </c>
      <c r="F1930" s="115"/>
      <c r="G1930" s="115"/>
      <c r="H1930" s="1436">
        <f t="shared" si="60"/>
        <v>0</v>
      </c>
      <c r="I1930" s="1436">
        <f t="shared" si="61"/>
        <v>1170000</v>
      </c>
      <c r="J1930" s="1439"/>
      <c r="K1930" s="1435"/>
    </row>
    <row r="1931" spans="1:11" hidden="1">
      <c r="A1931" s="1553" t="s">
        <v>281</v>
      </c>
      <c r="B1931" s="530"/>
      <c r="C1931" s="573"/>
      <c r="D1931" s="573"/>
      <c r="E1931" s="573"/>
      <c r="F1931" s="115"/>
      <c r="G1931" s="115"/>
      <c r="H1931" s="178">
        <f t="shared" si="60"/>
        <v>0</v>
      </c>
      <c r="I1931" s="178">
        <f t="shared" si="61"/>
        <v>0</v>
      </c>
      <c r="J1931" s="109"/>
    </row>
    <row r="1932" spans="1:11" hidden="1">
      <c r="A1932" s="1554"/>
      <c r="B1932" s="530"/>
      <c r="C1932" s="573"/>
      <c r="D1932" s="573"/>
      <c r="E1932" s="573"/>
      <c r="F1932" s="115"/>
      <c r="G1932" s="115"/>
      <c r="H1932" s="178">
        <f t="shared" si="60"/>
        <v>0</v>
      </c>
      <c r="I1932" s="178">
        <f t="shared" si="61"/>
        <v>0</v>
      </c>
      <c r="J1932" s="109"/>
    </row>
    <row r="1933" spans="1:11" hidden="1">
      <c r="A1933" s="1555"/>
      <c r="B1933" s="209" t="s">
        <v>985</v>
      </c>
      <c r="C1933" s="588">
        <f>C1931+C1932</f>
        <v>0</v>
      </c>
      <c r="D1933" s="588">
        <f>D1931+D1932</f>
        <v>0</v>
      </c>
      <c r="E1933" s="588">
        <f>E1931+E1932</f>
        <v>0</v>
      </c>
      <c r="F1933" s="115"/>
      <c r="G1933" s="115"/>
      <c r="H1933" s="178">
        <f t="shared" si="60"/>
        <v>0</v>
      </c>
      <c r="I1933" s="178">
        <f t="shared" si="61"/>
        <v>0</v>
      </c>
      <c r="J1933" s="109"/>
    </row>
    <row r="1934" spans="1:11" hidden="1">
      <c r="A1934" s="1553" t="s">
        <v>1108</v>
      </c>
      <c r="B1934" s="1378"/>
      <c r="C1934" s="1379"/>
      <c r="D1934" s="1379"/>
      <c r="E1934" s="1380"/>
      <c r="F1934" s="1381"/>
      <c r="G1934" s="1381"/>
      <c r="H1934" s="178">
        <f t="shared" si="60"/>
        <v>0</v>
      </c>
      <c r="I1934" s="178">
        <f t="shared" si="61"/>
        <v>0</v>
      </c>
      <c r="J1934" s="109"/>
    </row>
    <row r="1935" spans="1:11" hidden="1">
      <c r="A1935" s="1554"/>
      <c r="B1935" s="541"/>
      <c r="C1935" s="586"/>
      <c r="D1935" s="586"/>
      <c r="E1935" s="586"/>
      <c r="F1935" s="115"/>
      <c r="G1935" s="115"/>
      <c r="H1935" s="178">
        <f t="shared" si="60"/>
        <v>0</v>
      </c>
      <c r="I1935" s="178">
        <f t="shared" si="61"/>
        <v>0</v>
      </c>
      <c r="J1935" s="109"/>
    </row>
    <row r="1936" spans="1:11" ht="56.45" hidden="1" customHeight="1">
      <c r="A1936" s="1555"/>
      <c r="B1936" s="428" t="s">
        <v>985</v>
      </c>
      <c r="C1936" s="559">
        <f>SUM(C1934:C1935)</f>
        <v>0</v>
      </c>
      <c r="D1936" s="559">
        <f>SUM(D1934:D1935)</f>
        <v>0</v>
      </c>
      <c r="E1936" s="559">
        <f>SUM(E1934:E1935)</f>
        <v>0</v>
      </c>
      <c r="F1936" s="115"/>
      <c r="G1936" s="115"/>
      <c r="H1936" s="178">
        <f t="shared" si="60"/>
        <v>0</v>
      </c>
      <c r="I1936" s="178">
        <f t="shared" si="61"/>
        <v>0</v>
      </c>
      <c r="J1936" s="109"/>
    </row>
    <row r="1937" spans="1:11" hidden="1">
      <c r="A1937" s="1553" t="s">
        <v>45</v>
      </c>
      <c r="B1937" s="541"/>
      <c r="C1937" s="583"/>
      <c r="D1937" s="583"/>
      <c r="E1937" s="583"/>
      <c r="F1937" s="115"/>
      <c r="G1937" s="115"/>
      <c r="H1937" s="178">
        <f t="shared" si="60"/>
        <v>0</v>
      </c>
      <c r="I1937" s="178">
        <f t="shared" si="61"/>
        <v>0</v>
      </c>
      <c r="J1937" s="109"/>
    </row>
    <row r="1938" spans="1:11" hidden="1">
      <c r="A1938" s="1554"/>
      <c r="B1938" s="541"/>
      <c r="C1938" s="583"/>
      <c r="D1938" s="583"/>
      <c r="E1938" s="583"/>
      <c r="F1938" s="115"/>
      <c r="G1938" s="115"/>
      <c r="H1938" s="178">
        <f t="shared" si="60"/>
        <v>0</v>
      </c>
      <c r="I1938" s="178">
        <f t="shared" si="61"/>
        <v>0</v>
      </c>
      <c r="J1938" s="109"/>
    </row>
    <row r="1939" spans="1:11" hidden="1">
      <c r="A1939" s="1555"/>
      <c r="B1939" s="428" t="s">
        <v>985</v>
      </c>
      <c r="C1939" s="559">
        <f>SUM(C1937:C1938)</f>
        <v>0</v>
      </c>
      <c r="D1939" s="559">
        <f>SUM(D1937:D1938)</f>
        <v>0</v>
      </c>
      <c r="E1939" s="559">
        <f>SUM(E1937:E1938)</f>
        <v>0</v>
      </c>
      <c r="F1939" s="115"/>
      <c r="G1939" s="115"/>
      <c r="H1939" s="178">
        <f t="shared" si="60"/>
        <v>0</v>
      </c>
      <c r="I1939" s="178">
        <f t="shared" si="61"/>
        <v>0</v>
      </c>
      <c r="J1939" s="109"/>
    </row>
    <row r="1940" spans="1:11" ht="37.5">
      <c r="A1940" s="1553" t="s">
        <v>2055</v>
      </c>
      <c r="B1940" s="1373" t="s">
        <v>2025</v>
      </c>
      <c r="C1940" s="1374">
        <v>585000</v>
      </c>
      <c r="D1940" s="1374"/>
      <c r="E1940" s="1374">
        <v>585000</v>
      </c>
      <c r="F1940" s="1377"/>
      <c r="G1940" s="1377"/>
      <c r="H1940" s="1436">
        <f t="shared" si="60"/>
        <v>0</v>
      </c>
      <c r="I1940" s="1436">
        <f t="shared" si="61"/>
        <v>1170000</v>
      </c>
      <c r="J1940" s="1439"/>
      <c r="K1940" s="1435"/>
    </row>
    <row r="1941" spans="1:11" ht="37.5">
      <c r="A1941" s="1554"/>
      <c r="B1941" s="1378" t="s">
        <v>2057</v>
      </c>
      <c r="C1941" s="1379">
        <v>14000</v>
      </c>
      <c r="D1941" s="1379"/>
      <c r="E1941" s="1380">
        <v>14000</v>
      </c>
      <c r="F1941" s="1377"/>
      <c r="G1941" s="1377"/>
      <c r="H1941" s="1436">
        <f t="shared" si="60"/>
        <v>0</v>
      </c>
      <c r="I1941" s="1436">
        <f t="shared" si="61"/>
        <v>28000</v>
      </c>
      <c r="J1941" s="1439"/>
      <c r="K1941" s="1435"/>
    </row>
    <row r="1942" spans="1:11" s="67" customFormat="1" ht="37.5">
      <c r="A1942" s="1554"/>
      <c r="B1942" s="1378" t="s">
        <v>2058</v>
      </c>
      <c r="C1942" s="1379">
        <v>28033</v>
      </c>
      <c r="D1942" s="1379"/>
      <c r="E1942" s="1380">
        <v>28033</v>
      </c>
      <c r="F1942" s="115"/>
      <c r="G1942" s="115"/>
      <c r="H1942" s="1436">
        <f t="shared" si="60"/>
        <v>0</v>
      </c>
      <c r="I1942" s="1436">
        <f t="shared" si="61"/>
        <v>56066</v>
      </c>
      <c r="J1942" s="1444"/>
      <c r="K1942" s="1437"/>
    </row>
    <row r="1943" spans="1:11">
      <c r="A1943" s="1555"/>
      <c r="B1943" s="428" t="s">
        <v>985</v>
      </c>
      <c r="C1943" s="559">
        <f>SUM(C1940:C1942)</f>
        <v>627033</v>
      </c>
      <c r="D1943" s="559">
        <f>SUM(D1940:D1942)</f>
        <v>0</v>
      </c>
      <c r="E1943" s="559">
        <f>SUM(E1940:E1942)</f>
        <v>627033</v>
      </c>
      <c r="F1943" s="115"/>
      <c r="G1943" s="115"/>
      <c r="H1943" s="1436">
        <f t="shared" si="60"/>
        <v>0</v>
      </c>
      <c r="I1943" s="1436">
        <f t="shared" si="61"/>
        <v>1254066</v>
      </c>
      <c r="J1943" s="1439"/>
      <c r="K1943" s="1435"/>
    </row>
    <row r="1944" spans="1:11" ht="37.5">
      <c r="A1944" s="1553" t="s">
        <v>1124</v>
      </c>
      <c r="B1944" s="1154" t="s">
        <v>1215</v>
      </c>
      <c r="C1944" s="590">
        <v>1174000</v>
      </c>
      <c r="D1944" s="590"/>
      <c r="E1944" s="590">
        <v>1174000</v>
      </c>
      <c r="F1944" s="115"/>
      <c r="G1944" s="115"/>
      <c r="H1944" s="1436">
        <f t="shared" si="60"/>
        <v>0</v>
      </c>
      <c r="I1944" s="1436">
        <f t="shared" si="61"/>
        <v>2348000</v>
      </c>
      <c r="J1944" s="1439"/>
      <c r="K1944" s="1435"/>
    </row>
    <row r="1945" spans="1:11" ht="93.75">
      <c r="A1945" s="1554"/>
      <c r="B1945" s="544" t="s">
        <v>2091</v>
      </c>
      <c r="C1945" s="582">
        <v>42000</v>
      </c>
      <c r="D1945" s="582"/>
      <c r="E1945" s="582">
        <v>42000</v>
      </c>
      <c r="F1945" s="115"/>
      <c r="G1945" s="115"/>
      <c r="H1945" s="1436">
        <f t="shared" si="60"/>
        <v>0</v>
      </c>
      <c r="I1945" s="1436">
        <f t="shared" si="61"/>
        <v>84000</v>
      </c>
      <c r="J1945" s="1439"/>
      <c r="K1945" s="1435"/>
    </row>
    <row r="1946" spans="1:11" ht="93.75">
      <c r="A1946" s="1554"/>
      <c r="B1946" s="530" t="s">
        <v>2092</v>
      </c>
      <c r="C1946" s="557">
        <v>133840</v>
      </c>
      <c r="D1946" s="557"/>
      <c r="E1946" s="557">
        <v>133840</v>
      </c>
      <c r="F1946" s="115"/>
      <c r="G1946" s="115"/>
      <c r="H1946" s="1436">
        <f t="shared" si="60"/>
        <v>0</v>
      </c>
      <c r="I1946" s="1436">
        <f t="shared" si="61"/>
        <v>267680</v>
      </c>
      <c r="J1946" s="1439"/>
      <c r="K1946" s="1435"/>
    </row>
    <row r="1947" spans="1:11" hidden="1">
      <c r="A1947" s="1554"/>
      <c r="B1947" s="425"/>
      <c r="C1947" s="561"/>
      <c r="D1947" s="561"/>
      <c r="E1947" s="561"/>
      <c r="F1947" s="115"/>
      <c r="G1947" s="115"/>
      <c r="H1947" s="178">
        <f t="shared" si="60"/>
        <v>0</v>
      </c>
      <c r="I1947" s="178">
        <f t="shared" si="61"/>
        <v>0</v>
      </c>
      <c r="J1947" s="109"/>
    </row>
    <row r="1948" spans="1:11" ht="42.6" customHeight="1">
      <c r="A1948" s="1555"/>
      <c r="B1948" s="428" t="s">
        <v>985</v>
      </c>
      <c r="C1948" s="559">
        <f>SUM(C1944:C1947)</f>
        <v>1349840</v>
      </c>
      <c r="D1948" s="559">
        <f>SUM(D1944:D1947)</f>
        <v>0</v>
      </c>
      <c r="E1948" s="559">
        <f>SUM(E1944:E1947)</f>
        <v>1349840</v>
      </c>
      <c r="F1948" s="115"/>
      <c r="G1948" s="115"/>
      <c r="H1948" s="1436">
        <f t="shared" si="60"/>
        <v>0</v>
      </c>
      <c r="I1948" s="1436">
        <f t="shared" si="61"/>
        <v>2699680</v>
      </c>
      <c r="J1948" s="1439"/>
      <c r="K1948" s="1435"/>
    </row>
    <row r="1949" spans="1:11" hidden="1">
      <c r="A1949" s="1553" t="s">
        <v>646</v>
      </c>
      <c r="B1949" s="541"/>
      <c r="C1949" s="583"/>
      <c r="D1949" s="583"/>
      <c r="E1949" s="583"/>
      <c r="F1949" s="115"/>
      <c r="G1949" s="115"/>
      <c r="H1949" s="178">
        <f t="shared" si="60"/>
        <v>0</v>
      </c>
      <c r="I1949" s="178">
        <f t="shared" si="61"/>
        <v>0</v>
      </c>
      <c r="J1949" s="109"/>
    </row>
    <row r="1950" spans="1:11" hidden="1">
      <c r="A1950" s="1554"/>
      <c r="B1950" s="541"/>
      <c r="C1950" s="583"/>
      <c r="D1950" s="583"/>
      <c r="E1950" s="583"/>
      <c r="F1950" s="115"/>
      <c r="G1950" s="115"/>
      <c r="H1950" s="178">
        <f t="shared" si="60"/>
        <v>0</v>
      </c>
      <c r="I1950" s="178">
        <f t="shared" si="61"/>
        <v>0</v>
      </c>
      <c r="J1950" s="109"/>
    </row>
    <row r="1951" spans="1:11" hidden="1">
      <c r="A1951" s="1555"/>
      <c r="B1951" s="428" t="s">
        <v>985</v>
      </c>
      <c r="C1951" s="559">
        <f>SUM(C1949:C1950)</f>
        <v>0</v>
      </c>
      <c r="D1951" s="559">
        <f>SUM(D1949:D1950)</f>
        <v>0</v>
      </c>
      <c r="E1951" s="559">
        <f>SUM(E1949:E1950)</f>
        <v>0</v>
      </c>
      <c r="F1951" s="115"/>
      <c r="G1951" s="115"/>
      <c r="H1951" s="178">
        <f t="shared" si="60"/>
        <v>0</v>
      </c>
      <c r="I1951" s="178">
        <f t="shared" si="61"/>
        <v>0</v>
      </c>
      <c r="J1951" s="109"/>
    </row>
    <row r="1952" spans="1:11" ht="37.5">
      <c r="A1952" s="1553" t="s">
        <v>1096</v>
      </c>
      <c r="B1952" s="1180" t="s">
        <v>1200</v>
      </c>
      <c r="C1952" s="1181">
        <v>585000</v>
      </c>
      <c r="D1952" s="1181"/>
      <c r="E1952" s="1181">
        <v>585000</v>
      </c>
      <c r="F1952" s="1177"/>
      <c r="G1952" s="1177"/>
      <c r="H1952" s="1436">
        <f t="shared" si="60"/>
        <v>0</v>
      </c>
      <c r="I1952" s="1436">
        <f t="shared" si="61"/>
        <v>1170000</v>
      </c>
      <c r="J1952" s="1439"/>
      <c r="K1952" s="1435"/>
    </row>
    <row r="1953" spans="1:11" hidden="1">
      <c r="A1953" s="1554"/>
      <c r="B1953" s="541"/>
      <c r="C1953" s="583"/>
      <c r="D1953" s="583"/>
      <c r="E1953" s="583"/>
      <c r="F1953" s="115"/>
      <c r="G1953" s="115"/>
      <c r="H1953" s="178">
        <f t="shared" si="60"/>
        <v>0</v>
      </c>
      <c r="I1953" s="178">
        <f t="shared" si="61"/>
        <v>0</v>
      </c>
      <c r="J1953" s="109"/>
    </row>
    <row r="1954" spans="1:11" hidden="1">
      <c r="A1954" s="1554"/>
      <c r="B1954" s="541"/>
      <c r="C1954" s="583"/>
      <c r="D1954" s="583"/>
      <c r="E1954" s="583"/>
      <c r="F1954" s="115"/>
      <c r="G1954" s="115"/>
      <c r="H1954" s="178">
        <f t="shared" si="60"/>
        <v>0</v>
      </c>
      <c r="I1954" s="178">
        <f t="shared" si="61"/>
        <v>0</v>
      </c>
      <c r="J1954" s="109"/>
    </row>
    <row r="1955" spans="1:11">
      <c r="A1955" s="1555"/>
      <c r="B1955" s="428" t="s">
        <v>985</v>
      </c>
      <c r="C1955" s="559">
        <f>SUM(C1952:C1954)</f>
        <v>585000</v>
      </c>
      <c r="D1955" s="559">
        <f>SUM(D1952:D1954)</f>
        <v>0</v>
      </c>
      <c r="E1955" s="559">
        <f>SUM(E1952:E1954)</f>
        <v>585000</v>
      </c>
      <c r="F1955" s="115"/>
      <c r="G1955" s="115"/>
      <c r="H1955" s="1436">
        <f t="shared" si="60"/>
        <v>0</v>
      </c>
      <c r="I1955" s="1436">
        <f t="shared" si="61"/>
        <v>1170000</v>
      </c>
      <c r="J1955" s="1439"/>
      <c r="K1955" s="1435"/>
    </row>
    <row r="1956" spans="1:11" hidden="1">
      <c r="A1956" s="1553" t="s">
        <v>908</v>
      </c>
      <c r="B1956" s="541"/>
      <c r="C1956" s="583"/>
      <c r="D1956" s="583"/>
      <c r="E1956" s="583"/>
      <c r="F1956" s="115"/>
      <c r="G1956" s="115"/>
      <c r="H1956" s="178">
        <f t="shared" si="60"/>
        <v>0</v>
      </c>
      <c r="I1956" s="178">
        <f t="shared" si="61"/>
        <v>0</v>
      </c>
      <c r="J1956" s="109"/>
    </row>
    <row r="1957" spans="1:11" hidden="1">
      <c r="A1957" s="1555"/>
      <c r="B1957" s="428" t="s">
        <v>985</v>
      </c>
      <c r="C1957" s="559">
        <f>C1956</f>
        <v>0</v>
      </c>
      <c r="D1957" s="559">
        <f>D1956</f>
        <v>0</v>
      </c>
      <c r="E1957" s="559">
        <f>E1956</f>
        <v>0</v>
      </c>
      <c r="F1957" s="115"/>
      <c r="G1957" s="115"/>
      <c r="H1957" s="178">
        <f t="shared" si="60"/>
        <v>0</v>
      </c>
      <c r="I1957" s="178">
        <f t="shared" si="61"/>
        <v>0</v>
      </c>
      <c r="J1957" s="109"/>
    </row>
    <row r="1958" spans="1:11" hidden="1">
      <c r="A1958" s="1553" t="s">
        <v>909</v>
      </c>
      <c r="B1958" s="541"/>
      <c r="C1958" s="583"/>
      <c r="D1958" s="583"/>
      <c r="E1958" s="583"/>
      <c r="F1958" s="115"/>
      <c r="G1958" s="115"/>
      <c r="H1958" s="178">
        <f t="shared" si="60"/>
        <v>0</v>
      </c>
      <c r="I1958" s="178">
        <f t="shared" si="61"/>
        <v>0</v>
      </c>
      <c r="J1958" s="109"/>
    </row>
    <row r="1959" spans="1:11" hidden="1">
      <c r="A1959" s="1554"/>
      <c r="B1959" s="541"/>
      <c r="C1959" s="583"/>
      <c r="D1959" s="583"/>
      <c r="E1959" s="583"/>
      <c r="F1959" s="115"/>
      <c r="G1959" s="115"/>
      <c r="H1959" s="178">
        <f t="shared" si="60"/>
        <v>0</v>
      </c>
      <c r="I1959" s="178">
        <f t="shared" si="61"/>
        <v>0</v>
      </c>
      <c r="J1959" s="109"/>
    </row>
    <row r="1960" spans="1:11" hidden="1">
      <c r="A1960" s="1555"/>
      <c r="B1960" s="428" t="s">
        <v>985</v>
      </c>
      <c r="C1960" s="559">
        <f>C1958+C1959</f>
        <v>0</v>
      </c>
      <c r="D1960" s="559">
        <f>D1958+D1959</f>
        <v>0</v>
      </c>
      <c r="E1960" s="559">
        <f>E1958+E1959</f>
        <v>0</v>
      </c>
      <c r="F1960" s="547">
        <f>F1958+F1959</f>
        <v>0</v>
      </c>
      <c r="G1960" s="547">
        <f>G1958+G1959</f>
        <v>0</v>
      </c>
      <c r="H1960" s="178">
        <f t="shared" si="60"/>
        <v>0</v>
      </c>
      <c r="I1960" s="178">
        <f t="shared" si="61"/>
        <v>0</v>
      </c>
      <c r="J1960" s="109"/>
    </row>
    <row r="1961" spans="1:11" s="622" customFormat="1" ht="60" customHeight="1">
      <c r="A1961" s="1553" t="s">
        <v>1123</v>
      </c>
      <c r="B1961" s="1154" t="s">
        <v>1200</v>
      </c>
      <c r="C1961" s="590">
        <v>585000</v>
      </c>
      <c r="D1961" s="590"/>
      <c r="E1961" s="590">
        <v>585000</v>
      </c>
      <c r="F1961" s="623"/>
      <c r="G1961" s="623"/>
      <c r="H1961" s="1436">
        <f t="shared" si="60"/>
        <v>0</v>
      </c>
      <c r="I1961" s="1436">
        <f t="shared" si="61"/>
        <v>1170000</v>
      </c>
      <c r="J1961" s="1439"/>
      <c r="K1961" s="1435"/>
    </row>
    <row r="1962" spans="1:11" s="622" customFormat="1" ht="56.25">
      <c r="A1962" s="1563"/>
      <c r="B1962" s="1378" t="s">
        <v>2044</v>
      </c>
      <c r="C1962" s="1379">
        <v>14000</v>
      </c>
      <c r="D1962" s="1379"/>
      <c r="E1962" s="1380">
        <v>14000</v>
      </c>
      <c r="F1962" s="1381"/>
      <c r="G1962" s="1381"/>
      <c r="H1962" s="1436">
        <f t="shared" si="60"/>
        <v>0</v>
      </c>
      <c r="I1962" s="1436">
        <f t="shared" si="61"/>
        <v>28000</v>
      </c>
      <c r="J1962" s="1439"/>
      <c r="K1962" s="1435"/>
    </row>
    <row r="1963" spans="1:11">
      <c r="A1963" s="1555"/>
      <c r="B1963" s="428" t="s">
        <v>985</v>
      </c>
      <c r="C1963" s="559">
        <f>SUM(C1961:C1962)</f>
        <v>599000</v>
      </c>
      <c r="D1963" s="559">
        <f>SUM(D1961:D1962)</f>
        <v>0</v>
      </c>
      <c r="E1963" s="559">
        <f>SUM(E1961:E1962)</f>
        <v>599000</v>
      </c>
      <c r="F1963" s="115"/>
      <c r="G1963" s="115"/>
      <c r="H1963" s="1436">
        <f t="shared" si="60"/>
        <v>0</v>
      </c>
      <c r="I1963" s="1436">
        <f t="shared" si="61"/>
        <v>1198000</v>
      </c>
      <c r="J1963" s="1439"/>
      <c r="K1963" s="1435"/>
    </row>
    <row r="1964" spans="1:11" s="622" customFormat="1" hidden="1">
      <c r="A1964" s="1564" t="s">
        <v>1123</v>
      </c>
      <c r="B1964" s="617"/>
      <c r="C1964" s="624"/>
      <c r="D1964" s="624"/>
      <c r="E1964" s="624"/>
      <c r="F1964" s="625"/>
      <c r="G1964" s="625"/>
      <c r="H1964" s="178">
        <f t="shared" si="60"/>
        <v>0</v>
      </c>
      <c r="I1964" s="178">
        <f t="shared" si="61"/>
        <v>0</v>
      </c>
      <c r="J1964" s="621"/>
    </row>
    <row r="1965" spans="1:11" s="622" customFormat="1" hidden="1">
      <c r="A1965" s="1563"/>
      <c r="B1965" s="617"/>
      <c r="C1965" s="618"/>
      <c r="D1965" s="618"/>
      <c r="E1965" s="618"/>
      <c r="F1965" s="625"/>
      <c r="G1965" s="625"/>
      <c r="H1965" s="178">
        <f t="shared" si="60"/>
        <v>0</v>
      </c>
      <c r="I1965" s="178">
        <f t="shared" si="61"/>
        <v>0</v>
      </c>
      <c r="J1965" s="621"/>
    </row>
    <row r="1966" spans="1:11" hidden="1">
      <c r="A1966" s="1565"/>
      <c r="B1966" s="428" t="s">
        <v>985</v>
      </c>
      <c r="C1966" s="559">
        <f>C1965+C1964</f>
        <v>0</v>
      </c>
      <c r="D1966" s="559">
        <f>D1965+D1964</f>
        <v>0</v>
      </c>
      <c r="E1966" s="559">
        <f>E1965+E1964</f>
        <v>0</v>
      </c>
      <c r="F1966" s="115"/>
      <c r="G1966" s="115"/>
      <c r="H1966" s="178">
        <f t="shared" si="60"/>
        <v>0</v>
      </c>
      <c r="I1966" s="178">
        <f t="shared" si="61"/>
        <v>0</v>
      </c>
      <c r="J1966" s="109"/>
    </row>
    <row r="1967" spans="1:11" ht="112.5">
      <c r="A1967" s="1553" t="s">
        <v>1256</v>
      </c>
      <c r="B1967" s="1180" t="s">
        <v>1257</v>
      </c>
      <c r="C1967" s="1185">
        <v>1379</v>
      </c>
      <c r="D1967" s="1185"/>
      <c r="E1967" s="1185">
        <v>1379</v>
      </c>
      <c r="F1967" s="1177"/>
      <c r="G1967" s="1177"/>
      <c r="H1967" s="1436">
        <f t="shared" si="60"/>
        <v>0</v>
      </c>
      <c r="I1967" s="1436">
        <f t="shared" si="61"/>
        <v>2758</v>
      </c>
      <c r="J1967" s="1439"/>
      <c r="K1967" s="1435"/>
    </row>
    <row r="1968" spans="1:11" ht="112.5">
      <c r="A1968" s="1554"/>
      <c r="B1968" s="1180" t="s">
        <v>1258</v>
      </c>
      <c r="C1968" s="1185">
        <v>1941</v>
      </c>
      <c r="D1968" s="1185"/>
      <c r="E1968" s="1185">
        <v>1941</v>
      </c>
      <c r="F1968" s="1177"/>
      <c r="G1968" s="1177"/>
      <c r="H1968" s="1436">
        <f t="shared" si="60"/>
        <v>0</v>
      </c>
      <c r="I1968" s="1436">
        <f t="shared" si="61"/>
        <v>3882</v>
      </c>
      <c r="J1968" s="1439"/>
      <c r="K1968" s="1435"/>
    </row>
    <row r="1969" spans="1:11">
      <c r="A1969" s="1555"/>
      <c r="B1969" s="428" t="s">
        <v>199</v>
      </c>
      <c r="C1969" s="559">
        <f>SUM(C1967:C1968)</f>
        <v>3320</v>
      </c>
      <c r="D1969" s="559">
        <f>SUM(D1967:D1968)</f>
        <v>0</v>
      </c>
      <c r="E1969" s="559">
        <f>SUM(E1967:E1968)</f>
        <v>3320</v>
      </c>
      <c r="F1969" s="115"/>
      <c r="G1969" s="115"/>
      <c r="H1969" s="1436">
        <f t="shared" si="60"/>
        <v>0</v>
      </c>
      <c r="I1969" s="1436">
        <f t="shared" si="61"/>
        <v>6640</v>
      </c>
      <c r="J1969" s="1439"/>
      <c r="K1969" s="1435"/>
    </row>
    <row r="1970" spans="1:11" hidden="1">
      <c r="A1970" s="1553"/>
      <c r="B1970" s="1378"/>
      <c r="C1970" s="1379"/>
      <c r="D1970" s="1379"/>
      <c r="E1970" s="1380"/>
      <c r="F1970" s="1381"/>
      <c r="G1970" s="1381"/>
      <c r="H1970" s="178">
        <f t="shared" si="60"/>
        <v>0</v>
      </c>
      <c r="I1970" s="178">
        <f t="shared" si="61"/>
        <v>0</v>
      </c>
    </row>
    <row r="1971" spans="1:11" hidden="1">
      <c r="A1971" s="1554"/>
      <c r="B1971" s="1378"/>
      <c r="C1971" s="1379"/>
      <c r="D1971" s="1379"/>
      <c r="E1971" s="1380"/>
      <c r="F1971" s="1381"/>
      <c r="G1971" s="1381"/>
      <c r="H1971" s="178">
        <f t="shared" si="60"/>
        <v>0</v>
      </c>
      <c r="I1971" s="178">
        <f t="shared" si="61"/>
        <v>0</v>
      </c>
    </row>
    <row r="1972" spans="1:11" hidden="1">
      <c r="A1972" s="1559"/>
      <c r="B1972" s="428" t="s">
        <v>985</v>
      </c>
      <c r="C1972" s="559">
        <f>SUM(C1970:C1971)</f>
        <v>0</v>
      </c>
      <c r="D1972" s="559">
        <f>SUM(D1970:D1971)</f>
        <v>0</v>
      </c>
      <c r="E1972" s="559">
        <f>SUM(E1970:E1971)</f>
        <v>0</v>
      </c>
      <c r="F1972" s="632"/>
      <c r="G1972" s="632"/>
      <c r="H1972" s="178">
        <f t="shared" si="60"/>
        <v>0</v>
      </c>
      <c r="I1972" s="178">
        <f t="shared" si="61"/>
        <v>0</v>
      </c>
    </row>
    <row r="1973" spans="1:11" hidden="1">
      <c r="A1973" s="1553"/>
      <c r="B1973" s="425"/>
      <c r="C1973" s="561"/>
      <c r="D1973" s="561"/>
      <c r="E1973" s="561"/>
      <c r="F1973" s="115"/>
      <c r="G1973" s="115"/>
      <c r="H1973" s="178">
        <f t="shared" si="60"/>
        <v>0</v>
      </c>
      <c r="I1973" s="178">
        <f t="shared" si="61"/>
        <v>0</v>
      </c>
      <c r="J1973" s="109"/>
    </row>
    <row r="1974" spans="1:11" hidden="1">
      <c r="A1974" s="1555"/>
      <c r="B1974" s="428" t="s">
        <v>199</v>
      </c>
      <c r="C1974" s="559">
        <f>C1973</f>
        <v>0</v>
      </c>
      <c r="D1974" s="559">
        <f>D1973</f>
        <v>0</v>
      </c>
      <c r="E1974" s="559">
        <f>E1973</f>
        <v>0</v>
      </c>
      <c r="F1974" s="115"/>
      <c r="G1974" s="115"/>
      <c r="H1974" s="178">
        <f t="shared" si="60"/>
        <v>0</v>
      </c>
      <c r="I1974" s="178">
        <f t="shared" si="61"/>
        <v>0</v>
      </c>
      <c r="J1974" s="109"/>
    </row>
    <row r="1975" spans="1:11" hidden="1">
      <c r="A1975" s="1553"/>
      <c r="B1975" s="425"/>
      <c r="C1975" s="561"/>
      <c r="D1975" s="561"/>
      <c r="E1975" s="561"/>
      <c r="F1975" s="115"/>
      <c r="G1975" s="115"/>
      <c r="H1975" s="178">
        <f t="shared" si="60"/>
        <v>0</v>
      </c>
      <c r="I1975" s="178">
        <f t="shared" si="61"/>
        <v>0</v>
      </c>
      <c r="J1975" s="109"/>
    </row>
    <row r="1976" spans="1:11" hidden="1">
      <c r="A1976" s="1555"/>
      <c r="B1976" s="428" t="s">
        <v>199</v>
      </c>
      <c r="C1976" s="559">
        <f>C1975</f>
        <v>0</v>
      </c>
      <c r="D1976" s="559">
        <f>D1975</f>
        <v>0</v>
      </c>
      <c r="E1976" s="559">
        <f>E1975</f>
        <v>0</v>
      </c>
      <c r="F1976" s="115"/>
      <c r="G1976" s="115"/>
      <c r="H1976" s="178">
        <f t="shared" si="60"/>
        <v>0</v>
      </c>
      <c r="I1976" s="178">
        <f t="shared" si="61"/>
        <v>0</v>
      </c>
      <c r="J1976" s="109"/>
    </row>
    <row r="1977" spans="1:11" hidden="1">
      <c r="A1977" s="1553"/>
      <c r="B1977" s="425"/>
      <c r="C1977" s="561"/>
      <c r="D1977" s="561"/>
      <c r="E1977" s="561"/>
      <c r="F1977" s="115"/>
      <c r="G1977" s="115"/>
      <c r="H1977" s="178">
        <f t="shared" si="60"/>
        <v>0</v>
      </c>
      <c r="I1977" s="178">
        <f t="shared" si="61"/>
        <v>0</v>
      </c>
      <c r="J1977" s="109"/>
    </row>
    <row r="1978" spans="1:11" hidden="1">
      <c r="A1978" s="1555"/>
      <c r="B1978" s="428" t="s">
        <v>199</v>
      </c>
      <c r="C1978" s="559">
        <f>C1977</f>
        <v>0</v>
      </c>
      <c r="D1978" s="559">
        <f>D1977</f>
        <v>0</v>
      </c>
      <c r="E1978" s="559">
        <f>E1977</f>
        <v>0</v>
      </c>
      <c r="F1978" s="115"/>
      <c r="G1978" s="115"/>
      <c r="H1978" s="178">
        <f t="shared" si="60"/>
        <v>0</v>
      </c>
      <c r="I1978" s="178">
        <f t="shared" si="61"/>
        <v>0</v>
      </c>
      <c r="J1978" s="109"/>
    </row>
    <row r="1979" spans="1:11" hidden="1">
      <c r="A1979" s="1553"/>
      <c r="B1979" s="425"/>
      <c r="C1979" s="561"/>
      <c r="D1979" s="561"/>
      <c r="E1979" s="561"/>
      <c r="F1979" s="115"/>
      <c r="G1979" s="115"/>
      <c r="H1979" s="178">
        <f t="shared" si="60"/>
        <v>0</v>
      </c>
      <c r="I1979" s="178">
        <f t="shared" si="61"/>
        <v>0</v>
      </c>
      <c r="J1979" s="109"/>
    </row>
    <row r="1980" spans="1:11" hidden="1">
      <c r="A1980" s="1555"/>
      <c r="B1980" s="428" t="s">
        <v>199</v>
      </c>
      <c r="C1980" s="559">
        <f>C1979</f>
        <v>0</v>
      </c>
      <c r="D1980" s="559">
        <f>D1979</f>
        <v>0</v>
      </c>
      <c r="E1980" s="559">
        <f>E1979</f>
        <v>0</v>
      </c>
      <c r="F1980" s="115"/>
      <c r="G1980" s="115"/>
      <c r="H1980" s="178">
        <f t="shared" si="60"/>
        <v>0</v>
      </c>
      <c r="I1980" s="178">
        <f t="shared" si="61"/>
        <v>0</v>
      </c>
      <c r="J1980" s="109"/>
    </row>
    <row r="1981" spans="1:11" hidden="1">
      <c r="A1981" s="1553"/>
      <c r="B1981" s="425"/>
      <c r="C1981" s="561"/>
      <c r="D1981" s="561"/>
      <c r="E1981" s="561"/>
      <c r="F1981" s="115"/>
      <c r="G1981" s="115"/>
      <c r="H1981" s="178">
        <f t="shared" si="60"/>
        <v>0</v>
      </c>
      <c r="I1981" s="178">
        <f t="shared" si="61"/>
        <v>0</v>
      </c>
      <c r="J1981" s="109"/>
    </row>
    <row r="1982" spans="1:11" hidden="1">
      <c r="A1982" s="1555"/>
      <c r="B1982" s="428" t="s">
        <v>199</v>
      </c>
      <c r="C1982" s="559">
        <f>C1981</f>
        <v>0</v>
      </c>
      <c r="D1982" s="559">
        <f>D1981</f>
        <v>0</v>
      </c>
      <c r="E1982" s="559">
        <f>E1981</f>
        <v>0</v>
      </c>
      <c r="F1982" s="115"/>
      <c r="G1982" s="115"/>
      <c r="H1982" s="178">
        <f t="shared" si="60"/>
        <v>0</v>
      </c>
      <c r="I1982" s="178">
        <f t="shared" si="61"/>
        <v>0</v>
      </c>
      <c r="J1982" s="109"/>
    </row>
    <row r="1983" spans="1:11" hidden="1">
      <c r="A1983" s="1553"/>
      <c r="B1983" s="425"/>
      <c r="C1983" s="561"/>
      <c r="D1983" s="561"/>
      <c r="E1983" s="561"/>
      <c r="F1983" s="115"/>
      <c r="G1983" s="115"/>
      <c r="H1983" s="178">
        <f t="shared" si="60"/>
        <v>0</v>
      </c>
      <c r="I1983" s="178">
        <f t="shared" si="61"/>
        <v>0</v>
      </c>
      <c r="J1983" s="109"/>
    </row>
    <row r="1984" spans="1:11" hidden="1">
      <c r="A1984" s="1555"/>
      <c r="B1984" s="428" t="s">
        <v>199</v>
      </c>
      <c r="C1984" s="559">
        <f>C1983</f>
        <v>0</v>
      </c>
      <c r="D1984" s="559">
        <f>D1983</f>
        <v>0</v>
      </c>
      <c r="E1984" s="559">
        <f>E1983</f>
        <v>0</v>
      </c>
      <c r="F1984" s="115"/>
      <c r="G1984" s="115"/>
      <c r="H1984" s="178">
        <f t="shared" si="60"/>
        <v>0</v>
      </c>
      <c r="I1984" s="178">
        <f t="shared" si="61"/>
        <v>0</v>
      </c>
      <c r="J1984" s="109"/>
    </row>
    <row r="1985" spans="1:10" hidden="1">
      <c r="A1985" s="1553"/>
      <c r="B1985" s="425"/>
      <c r="C1985" s="561"/>
      <c r="D1985" s="561"/>
      <c r="E1985" s="561"/>
      <c r="F1985" s="115"/>
      <c r="G1985" s="115"/>
      <c r="H1985" s="178">
        <f t="shared" si="60"/>
        <v>0</v>
      </c>
      <c r="I1985" s="178">
        <f t="shared" si="61"/>
        <v>0</v>
      </c>
      <c r="J1985" s="109"/>
    </row>
    <row r="1986" spans="1:10" hidden="1">
      <c r="A1986" s="1555"/>
      <c r="B1986" s="428" t="s">
        <v>199</v>
      </c>
      <c r="C1986" s="559">
        <f>C1985</f>
        <v>0</v>
      </c>
      <c r="D1986" s="559">
        <f>D1985</f>
        <v>0</v>
      </c>
      <c r="E1986" s="559">
        <f>E1985</f>
        <v>0</v>
      </c>
      <c r="F1986" s="115"/>
      <c r="G1986" s="115"/>
      <c r="H1986" s="178">
        <f t="shared" si="60"/>
        <v>0</v>
      </c>
      <c r="I1986" s="178">
        <f t="shared" si="61"/>
        <v>0</v>
      </c>
      <c r="J1986" s="109"/>
    </row>
    <row r="1987" spans="1:10" hidden="1">
      <c r="A1987" s="1553"/>
      <c r="B1987" s="425"/>
      <c r="C1987" s="561"/>
      <c r="D1987" s="561"/>
      <c r="E1987" s="561"/>
      <c r="F1987" s="115"/>
      <c r="G1987" s="115"/>
      <c r="H1987" s="178">
        <f t="shared" si="60"/>
        <v>0</v>
      </c>
      <c r="I1987" s="178">
        <f t="shared" si="61"/>
        <v>0</v>
      </c>
      <c r="J1987" s="109"/>
    </row>
    <row r="1988" spans="1:10" hidden="1">
      <c r="A1988" s="1555"/>
      <c r="B1988" s="428" t="s">
        <v>199</v>
      </c>
      <c r="C1988" s="559">
        <f>C1987</f>
        <v>0</v>
      </c>
      <c r="D1988" s="559">
        <f>D1987</f>
        <v>0</v>
      </c>
      <c r="E1988" s="559">
        <f>E1987</f>
        <v>0</v>
      </c>
      <c r="F1988" s="115"/>
      <c r="G1988" s="115"/>
      <c r="H1988" s="178">
        <f t="shared" si="60"/>
        <v>0</v>
      </c>
      <c r="I1988" s="178">
        <f t="shared" si="61"/>
        <v>0</v>
      </c>
      <c r="J1988" s="109"/>
    </row>
    <row r="1989" spans="1:10" hidden="1">
      <c r="A1989" s="1553"/>
      <c r="B1989" s="425"/>
      <c r="C1989" s="561"/>
      <c r="D1989" s="561"/>
      <c r="E1989" s="561"/>
      <c r="F1989" s="115"/>
      <c r="G1989" s="115"/>
      <c r="H1989" s="178">
        <f t="shared" si="60"/>
        <v>0</v>
      </c>
      <c r="I1989" s="178">
        <f t="shared" si="61"/>
        <v>0</v>
      </c>
      <c r="J1989" s="109"/>
    </row>
    <row r="1990" spans="1:10" hidden="1">
      <c r="A1990" s="1555"/>
      <c r="B1990" s="428" t="s">
        <v>199</v>
      </c>
      <c r="C1990" s="559">
        <f>C1989</f>
        <v>0</v>
      </c>
      <c r="D1990" s="559">
        <f>D1989</f>
        <v>0</v>
      </c>
      <c r="E1990" s="559">
        <f>E1989</f>
        <v>0</v>
      </c>
      <c r="F1990" s="115"/>
      <c r="G1990" s="115"/>
      <c r="H1990" s="178">
        <f t="shared" si="60"/>
        <v>0</v>
      </c>
      <c r="I1990" s="178">
        <f t="shared" si="61"/>
        <v>0</v>
      </c>
      <c r="J1990" s="109"/>
    </row>
    <row r="1991" spans="1:10" hidden="1">
      <c r="A1991" s="1553"/>
      <c r="B1991" s="425"/>
      <c r="C1991" s="561"/>
      <c r="D1991" s="561"/>
      <c r="E1991" s="561"/>
      <c r="F1991" s="115"/>
      <c r="G1991" s="115"/>
      <c r="H1991" s="178">
        <f t="shared" si="60"/>
        <v>0</v>
      </c>
      <c r="I1991" s="178">
        <f t="shared" si="61"/>
        <v>0</v>
      </c>
      <c r="J1991" s="109"/>
    </row>
    <row r="1992" spans="1:10" hidden="1">
      <c r="A1992" s="1555"/>
      <c r="B1992" s="428" t="s">
        <v>199</v>
      </c>
      <c r="C1992" s="559">
        <f>C1991</f>
        <v>0</v>
      </c>
      <c r="D1992" s="559">
        <f>D1991</f>
        <v>0</v>
      </c>
      <c r="E1992" s="559">
        <f>E1991</f>
        <v>0</v>
      </c>
      <c r="F1992" s="115"/>
      <c r="G1992" s="115"/>
      <c r="H1992" s="178">
        <f t="shared" si="60"/>
        <v>0</v>
      </c>
      <c r="I1992" s="178">
        <f t="shared" si="61"/>
        <v>0</v>
      </c>
      <c r="J1992" s="109"/>
    </row>
    <row r="1993" spans="1:10" hidden="1">
      <c r="A1993" s="1553"/>
      <c r="B1993" s="425"/>
      <c r="C1993" s="561"/>
      <c r="D1993" s="561"/>
      <c r="E1993" s="561"/>
      <c r="F1993" s="115"/>
      <c r="G1993" s="115"/>
      <c r="H1993" s="178">
        <f t="shared" ref="H1993:H2018" si="62">E1993+D1993-C1993</f>
        <v>0</v>
      </c>
      <c r="I1993" s="178">
        <f t="shared" ref="I1993:I2010" si="63">SUM(C1993:E1993)</f>
        <v>0</v>
      </c>
      <c r="J1993" s="109"/>
    </row>
    <row r="1994" spans="1:10" hidden="1">
      <c r="A1994" s="1555"/>
      <c r="B1994" s="428" t="s">
        <v>199</v>
      </c>
      <c r="C1994" s="559">
        <f>C1993</f>
        <v>0</v>
      </c>
      <c r="D1994" s="559">
        <f>D1993</f>
        <v>0</v>
      </c>
      <c r="E1994" s="559">
        <f>E1993</f>
        <v>0</v>
      </c>
      <c r="F1994" s="115"/>
      <c r="G1994" s="115"/>
      <c r="H1994" s="178">
        <f t="shared" si="62"/>
        <v>0</v>
      </c>
      <c r="I1994" s="178">
        <f t="shared" si="63"/>
        <v>0</v>
      </c>
      <c r="J1994" s="109"/>
    </row>
    <row r="1995" spans="1:10" hidden="1">
      <c r="A1995" s="1553"/>
      <c r="B1995" s="425"/>
      <c r="C1995" s="561"/>
      <c r="D1995" s="561"/>
      <c r="E1995" s="561"/>
      <c r="F1995" s="115"/>
      <c r="G1995" s="115"/>
      <c r="H1995" s="178">
        <f t="shared" si="62"/>
        <v>0</v>
      </c>
      <c r="I1995" s="178">
        <f t="shared" si="63"/>
        <v>0</v>
      </c>
      <c r="J1995" s="109"/>
    </row>
    <row r="1996" spans="1:10" hidden="1">
      <c r="A1996" s="1555"/>
      <c r="B1996" s="428" t="s">
        <v>199</v>
      </c>
      <c r="C1996" s="559">
        <f>C1995</f>
        <v>0</v>
      </c>
      <c r="D1996" s="559">
        <f>D1995</f>
        <v>0</v>
      </c>
      <c r="E1996" s="559">
        <f>E1995</f>
        <v>0</v>
      </c>
      <c r="F1996" s="115"/>
      <c r="G1996" s="115"/>
      <c r="H1996" s="178">
        <f t="shared" si="62"/>
        <v>0</v>
      </c>
      <c r="I1996" s="178">
        <f t="shared" si="63"/>
        <v>0</v>
      </c>
      <c r="J1996" s="109"/>
    </row>
    <row r="1997" spans="1:10" hidden="1">
      <c r="A1997" s="540"/>
      <c r="B1997" s="545"/>
      <c r="C1997" s="561"/>
      <c r="D1997" s="561"/>
      <c r="E1997" s="561"/>
      <c r="F1997" s="115"/>
      <c r="G1997" s="115"/>
      <c r="H1997" s="178">
        <f t="shared" si="62"/>
        <v>0</v>
      </c>
      <c r="I1997" s="178">
        <f t="shared" si="63"/>
        <v>0</v>
      </c>
      <c r="J1997" s="109"/>
    </row>
    <row r="1998" spans="1:10" hidden="1">
      <c r="A1998" s="540"/>
      <c r="B1998" s="545"/>
      <c r="C1998" s="561"/>
      <c r="D1998" s="561"/>
      <c r="E1998" s="561"/>
      <c r="F1998" s="115"/>
      <c r="G1998" s="115"/>
      <c r="H1998" s="178">
        <f t="shared" si="62"/>
        <v>0</v>
      </c>
      <c r="I1998" s="178">
        <f t="shared" si="63"/>
        <v>0</v>
      </c>
      <c r="J1998" s="109"/>
    </row>
    <row r="1999" spans="1:10" hidden="1">
      <c r="A1999" s="540"/>
      <c r="B1999" s="545"/>
      <c r="C1999" s="561"/>
      <c r="D1999" s="561"/>
      <c r="E1999" s="561"/>
      <c r="F1999" s="115"/>
      <c r="G1999" s="115"/>
      <c r="H1999" s="178">
        <f t="shared" si="62"/>
        <v>0</v>
      </c>
      <c r="I1999" s="178">
        <f t="shared" si="63"/>
        <v>0</v>
      </c>
      <c r="J1999" s="109"/>
    </row>
    <row r="2000" spans="1:10" hidden="1">
      <c r="A2000" s="540"/>
      <c r="B2000" s="545"/>
      <c r="C2000" s="561"/>
      <c r="D2000" s="561"/>
      <c r="E2000" s="561"/>
      <c r="F2000" s="115"/>
      <c r="G2000" s="115"/>
      <c r="H2000" s="178">
        <f t="shared" si="62"/>
        <v>0</v>
      </c>
      <c r="I2000" s="178">
        <f t="shared" si="63"/>
        <v>0</v>
      </c>
      <c r="J2000" s="109"/>
    </row>
    <row r="2001" spans="1:11" hidden="1">
      <c r="A2001" s="540"/>
      <c r="B2001" s="545"/>
      <c r="C2001" s="561"/>
      <c r="D2001" s="561"/>
      <c r="E2001" s="561"/>
      <c r="F2001" s="115"/>
      <c r="G2001" s="115"/>
      <c r="H2001" s="178">
        <f t="shared" si="62"/>
        <v>0</v>
      </c>
      <c r="I2001" s="178">
        <f t="shared" si="63"/>
        <v>0</v>
      </c>
      <c r="J2001" s="109"/>
    </row>
    <row r="2002" spans="1:11">
      <c r="A2002" s="1556" t="s">
        <v>66</v>
      </c>
      <c r="B2002" s="1557"/>
      <c r="C2002" s="560">
        <f>C96+C125+C158+C201+C244+C297+C327+C372+C413+C446+C496+C535+C605+C627+C659+C703+C748+C786+C908+C943+C1022+C1051+C1088+C1136+C1215+C1265+C1292+C1341+C1366+C1413+C1461+C1509+C1557+C1605+C1653+C1701+C1749+C1797+C1801+C1811+C1814+C1820+C1823+C1826+C1829+C1833+C1836+C1840+C1844+C1851+C1859+C1862+C1866+C1868+C1870+C1872+C1877+C1879+C1881+C1883+C1889+C1894+C1896+C1899+C1901+C1904+C1907+C1910+C1912+C1920+C1922+C1925+C1928+C1930+C1933+C1936+C1939+C1943+C1948+C1951+C1955+C1957+C1960+C1963+C1966+C1969+C1972+C1974+C1976+C1978+C1980+C1982+C1984+C1986+C1988+C1990+C1992+C1994+C1996</f>
        <v>13178365</v>
      </c>
      <c r="D2002" s="560">
        <f>D96+D125+D158+D201+D244+D297+D327+D372+D413+D446+D496+D535+D605+D627+D659+D703+D748+D786+D908+D943+D1022+D1051+D1088+D1136+D1215+D1265+D1292+D1341+D1366+D1413+D1461+D1509+D1557+D1605+D1653+D1701+D1749+D1797+D1801+D1811+D1814+D1820+D1823+D1826+D1829+D1833+D1836+D1840+D1844+D1851+D1859+D1862+D1866+D1868+D1870+D1872+D1877+D1879+D1881+D1883+D1889+D1894+D1896+D1899+D1901+D1904+D1907+D1910+D1912+D1920+D1922+D1925+D1928+D1930+D1933+D1936+D1939+D1943+D1948+D1951+D1955+D1957+D1960+D1963+D1966+D1969+D1972+D1974+D1976+D1978+D1980+D1982+D1984+D1986+D1988+D1990+D1992+D1994+D1996</f>
        <v>359000</v>
      </c>
      <c r="E2002" s="560">
        <f>E96+E125+E158+E201+E244+E297+E327+E372+E413+E446+E496+E535+E605+E627+E659+E703+E748+E786+E908+E943+E1022+E1051+E1088+E1136+E1215+E1265+E1292+E1341+E1366+E1413+E1461+E1509+E1557+E1605+E1653+E1701+E1749+E1797+E1801+E1811+E1814+E1820+E1823+E1826+E1829+E1833+E1836+E1840+E1844+E1851+E1859+E1862+E1866+E1868+E1870+E1872+E1877+E1879+E1881+E1883+E1889+E1894+E1896+E1899+E1901+E1904+E1907+E1910+E1912+E1920+E1922+E1925+E1928+E1930+E1933+E1936+E1939+E1943+E1948+E1951+E1955+E1957+E1960+E1963+E1966+E1969+E1972+E1974+E1976+E1978+E1980+E1982+E1984+E1986+E1988+E1990+E1992+E1994+E1996</f>
        <v>12819365</v>
      </c>
      <c r="F2002" s="481">
        <f>F96+F125+F158+F201+F244+F297+F327+F372+F413+F446+F496+F535+F605+F627+F659+F703+F748+F786+F908+F943+F1022+F1051+F1088+F1136+F1215+F1265+F1292+F1341+F1366+F1413+F1461+F1509+F1557+F1605+F1653+F1701+F1749+F1797+F1801+F1811+F1814+F1820+F1823+F1826+F1829+F1833+F1836+F1840+F1844+F1851+F1859+F1862+F1866+F1868+F1870+F1872+F1877+F1879+F1881+F1883+F1889+F1894+F1896+F1899+F1901+F1904+F1907+F1910+F1912+F1920+F1922+F1925+F1928+F1930+F1933+F1936+F1939+F1943+F1948+F1951+F1955+F1957+F1960+F1963+F1966+F1969+F1972+F1974+F1976+F1978+F1980+F1982+F1984+F1986+F1988+F1990+F1992+F1994+F1996</f>
        <v>0</v>
      </c>
      <c r="G2002" s="481">
        <f>G96+G125+G158+G201+G244+G297+G327+G372+G413+G446+G496+G535+G605+G627+G659+G703+G748+G786+G908+G943+G1022+G1051+G1088+G1136+G1215+G1265+G1292+G1341+G1366+G1413+G1461+G1509+G1557+G1605+G1653+G1701+G1749+G1797+G1801+G1811+G1814+G1820+G1823+G1826+G1829+G1833+G1836+G1840+G1844+G1851+G1859+G1862+G1866+G1868+G1870+G1872+G1877+G1879+G1881+G1883+G1889+G1894+G1896+G1899+G1901+G1904+G1907+G1910+G1912+G1920+G1922+G1925+G1928+G1930+G1933+G1936+G1939+G1943+G1948+G1951+G1955+G1957+G1960+G1963+G1966+G1969+G1972+G1974+G1976+G1978+G1980+G1982+G1984+G1986+G1988+G1990+G1992+G1994+G1996</f>
        <v>261690.4</v>
      </c>
      <c r="H2002" s="1436">
        <f t="shared" si="62"/>
        <v>0</v>
      </c>
      <c r="I2002" s="1436">
        <f t="shared" si="63"/>
        <v>26356730</v>
      </c>
      <c r="J2002" s="1439"/>
      <c r="K2002" s="1435"/>
    </row>
    <row r="2003" spans="1:11">
      <c r="A2003" s="841"/>
      <c r="B2003" s="841"/>
      <c r="C2003" s="842"/>
      <c r="D2003" s="842"/>
      <c r="E2003" s="842"/>
      <c r="F2003" s="843"/>
      <c r="G2003" s="843"/>
      <c r="H2003" s="1436">
        <f t="shared" si="62"/>
        <v>0</v>
      </c>
      <c r="I2003" s="1436">
        <f t="shared" si="63"/>
        <v>0</v>
      </c>
      <c r="J2003" s="1439"/>
      <c r="K2003" s="1435"/>
    </row>
    <row r="2004" spans="1:11">
      <c r="A2004" s="841"/>
      <c r="B2004" s="841"/>
      <c r="C2004" s="842"/>
      <c r="D2004" s="842"/>
      <c r="E2004" s="842"/>
      <c r="F2004" s="843"/>
      <c r="G2004" s="843"/>
      <c r="H2004" s="1436">
        <f t="shared" si="62"/>
        <v>0</v>
      </c>
      <c r="I2004" s="1436">
        <f t="shared" si="63"/>
        <v>0</v>
      </c>
      <c r="J2004" s="1439"/>
      <c r="K2004" s="1435"/>
    </row>
    <row r="2005" spans="1:11">
      <c r="A2005" s="246"/>
      <c r="B2005" s="434"/>
      <c r="C2005" s="416"/>
      <c r="D2005" s="416"/>
      <c r="E2005" s="416"/>
      <c r="F2005" s="245"/>
      <c r="G2005" s="245"/>
      <c r="H2005" s="1436">
        <f t="shared" si="62"/>
        <v>0</v>
      </c>
      <c r="I2005" s="1436">
        <f t="shared" si="63"/>
        <v>0</v>
      </c>
      <c r="J2005" s="1435"/>
      <c r="K2005" s="1435"/>
    </row>
    <row r="2006" spans="1:11">
      <c r="A2006" s="246"/>
      <c r="B2006" s="434"/>
      <c r="C2006" s="416"/>
      <c r="D2006" s="416"/>
      <c r="E2006" s="416"/>
      <c r="F2006" s="245"/>
      <c r="G2006" s="245"/>
      <c r="H2006" s="1436">
        <f t="shared" si="62"/>
        <v>0</v>
      </c>
      <c r="I2006" s="1436">
        <f t="shared" si="63"/>
        <v>0</v>
      </c>
      <c r="J2006" s="1435"/>
      <c r="K2006" s="1435"/>
    </row>
    <row r="2007" spans="1:11">
      <c r="A2007" s="163" t="s">
        <v>211</v>
      </c>
      <c r="B2007" s="435"/>
      <c r="C2007" s="436"/>
      <c r="D2007" s="437"/>
      <c r="E2007" s="435" t="s">
        <v>212</v>
      </c>
      <c r="F2007" s="245"/>
      <c r="G2007" s="245"/>
      <c r="H2007" s="1436" t="e">
        <f t="shared" si="62"/>
        <v>#VALUE!</v>
      </c>
      <c r="I2007" s="1436">
        <f t="shared" si="63"/>
        <v>0</v>
      </c>
      <c r="J2007" s="1435"/>
      <c r="K2007" s="1435"/>
    </row>
    <row r="2008" spans="1:11">
      <c r="A2008" s="246"/>
      <c r="B2008" s="434"/>
      <c r="C2008" s="416"/>
      <c r="D2008" s="416"/>
      <c r="E2008" s="416"/>
      <c r="F2008" s="245"/>
      <c r="G2008" s="245"/>
      <c r="H2008" s="1436">
        <f t="shared" si="62"/>
        <v>0</v>
      </c>
      <c r="I2008" s="1436">
        <f t="shared" si="63"/>
        <v>0</v>
      </c>
      <c r="J2008" s="1435"/>
      <c r="K2008" s="1435"/>
    </row>
    <row r="2009" spans="1:11">
      <c r="A2009" s="246"/>
      <c r="B2009" s="434"/>
      <c r="C2009" s="416"/>
      <c r="D2009" s="416"/>
      <c r="E2009" s="416"/>
      <c r="F2009" s="245"/>
      <c r="G2009" s="245"/>
      <c r="H2009" s="1436">
        <f t="shared" si="62"/>
        <v>0</v>
      </c>
      <c r="I2009" s="1436">
        <f t="shared" si="63"/>
        <v>0</v>
      </c>
      <c r="J2009" s="1435"/>
      <c r="K2009" s="1435"/>
    </row>
    <row r="2010" spans="1:11">
      <c r="E2010" s="418"/>
      <c r="F2010" s="340"/>
      <c r="H2010" s="1436">
        <f t="shared" si="62"/>
        <v>0</v>
      </c>
      <c r="I2010" s="1436">
        <f t="shared" si="63"/>
        <v>0</v>
      </c>
      <c r="J2010" s="1435"/>
      <c r="K2010" s="1435"/>
    </row>
    <row r="2011" spans="1:11">
      <c r="A2011" s="246"/>
      <c r="B2011" s="434"/>
      <c r="C2011" s="416"/>
      <c r="D2011" s="416"/>
      <c r="E2011" s="416"/>
      <c r="F2011" s="245"/>
      <c r="G2011" s="245"/>
      <c r="H2011" s="178"/>
      <c r="I2011" s="178"/>
    </row>
    <row r="2012" spans="1:11">
      <c r="C2012" s="417"/>
      <c r="D2012" s="417"/>
      <c r="E2012" s="208"/>
      <c r="F2012" s="69">
        <f>F2002-дод1!F145</f>
        <v>-12819365</v>
      </c>
      <c r="G2012" s="69">
        <f>G2002-дод1!G145</f>
        <v>-38914404.600000001</v>
      </c>
      <c r="H2012" s="178"/>
      <c r="I2012" s="178"/>
    </row>
    <row r="2013" spans="1:11" s="67" customFormat="1">
      <c r="A2013" s="341"/>
      <c r="B2013" s="438"/>
      <c r="C2013" s="439"/>
      <c r="D2013" s="439"/>
      <c r="E2013" s="439"/>
      <c r="F2013" s="439">
        <f>дод1!F145</f>
        <v>12819365</v>
      </c>
      <c r="G2013" s="439">
        <f>дод1!G145</f>
        <v>39176095</v>
      </c>
      <c r="H2013" s="178"/>
      <c r="I2013" s="178"/>
    </row>
    <row r="2014" spans="1:11">
      <c r="C2014" s="552"/>
      <c r="D2014" s="552"/>
      <c r="E2014" s="552"/>
      <c r="F2014" s="69">
        <f>F2002-дод1!F145</f>
        <v>-12819365</v>
      </c>
      <c r="G2014" s="69">
        <f>G2002-дод1!G145</f>
        <v>-38914404.600000001</v>
      </c>
      <c r="H2014" s="178"/>
      <c r="I2014" s="178"/>
    </row>
    <row r="2015" spans="1:11" hidden="1">
      <c r="A2015" s="7"/>
      <c r="B2015" s="7"/>
      <c r="E2015" s="418"/>
      <c r="H2015" s="178">
        <f t="shared" si="62"/>
        <v>0</v>
      </c>
      <c r="I2015" s="178">
        <f>SUM(C2015:E2015)</f>
        <v>0</v>
      </c>
    </row>
    <row r="2016" spans="1:11" hidden="1">
      <c r="E2016" s="418"/>
      <c r="H2016" s="178">
        <f t="shared" si="62"/>
        <v>0</v>
      </c>
      <c r="I2016" s="178">
        <f>SUM(C2016:E2016)</f>
        <v>0</v>
      </c>
    </row>
    <row r="2017" spans="1:9">
      <c r="C2017" s="417"/>
      <c r="D2017" s="417"/>
      <c r="E2017" s="417"/>
      <c r="H2017" s="178"/>
      <c r="I2017" s="178"/>
    </row>
    <row r="2018" spans="1:9" s="376" customFormat="1" hidden="1">
      <c r="A2018" s="495"/>
      <c r="B2018" s="496" t="s">
        <v>862</v>
      </c>
      <c r="C2018" s="497">
        <f>C2002-C2017</f>
        <v>13178365</v>
      </c>
      <c r="D2018" s="497">
        <f>D2002-D2017</f>
        <v>359000</v>
      </c>
      <c r="E2018" s="497">
        <f>E2002-E2017</f>
        <v>12819365</v>
      </c>
      <c r="F2018" s="417">
        <f>F2017-F2014</f>
        <v>12819365</v>
      </c>
      <c r="G2018" s="417">
        <f>G2017-G2014</f>
        <v>38914404.600000001</v>
      </c>
      <c r="H2018" s="178">
        <f t="shared" si="62"/>
        <v>0</v>
      </c>
      <c r="I2018" s="178">
        <f>SUM(C2018:E2018)</f>
        <v>26356730</v>
      </c>
    </row>
    <row r="2019" spans="1:9" s="796" customFormat="1" hidden="1">
      <c r="A2019" s="793"/>
      <c r="B2019" s="794"/>
      <c r="C2019" s="795">
        <f>C2013-C2017</f>
        <v>0</v>
      </c>
      <c r="D2019" s="795">
        <f>D2013-D2017</f>
        <v>0</v>
      </c>
      <c r="E2019" s="795">
        <f>E2013-E2017</f>
        <v>0</v>
      </c>
      <c r="F2019" s="7"/>
      <c r="G2019" s="7"/>
    </row>
    <row r="2020" spans="1:9">
      <c r="B2020" s="1446"/>
      <c r="C2020" s="1445"/>
      <c r="D2020" s="1445"/>
      <c r="E2020" s="1445"/>
    </row>
  </sheetData>
  <autoFilter ref="A7:AP2019">
    <filterColumn colId="8">
      <customFilters and="1">
        <customFilter operator="greaterThan" val="0"/>
      </customFilters>
    </filterColumn>
  </autoFilter>
  <mergeCells count="101">
    <mergeCell ref="A1867:A1868"/>
    <mergeCell ref="A1414:A1461"/>
    <mergeCell ref="A1821:A1823"/>
    <mergeCell ref="A1878:A1879"/>
    <mergeCell ref="A787:A908"/>
    <mergeCell ref="A1824:A1826"/>
    <mergeCell ref="A1827:A1829"/>
    <mergeCell ref="A1834:A1836"/>
    <mergeCell ref="A1837:A1840"/>
    <mergeCell ref="A1798:A1801"/>
    <mergeCell ref="A1750:A1797"/>
    <mergeCell ref="A1654:A1701"/>
    <mergeCell ref="A1462:A1509"/>
    <mergeCell ref="A1510:A1557"/>
    <mergeCell ref="A1882:A1883"/>
    <mergeCell ref="A1880:A1881"/>
    <mergeCell ref="A1869:A1870"/>
    <mergeCell ref="A1860:A1862"/>
    <mergeCell ref="A1873:A1877"/>
    <mergeCell ref="A1871:A1872"/>
    <mergeCell ref="A2002:B2002"/>
    <mergeCell ref="A1863:A1866"/>
    <mergeCell ref="A1841:A1844"/>
    <mergeCell ref="A1852:A1859"/>
    <mergeCell ref="A1845:A1851"/>
    <mergeCell ref="A628:A659"/>
    <mergeCell ref="A704:A748"/>
    <mergeCell ref="A1023:A1051"/>
    <mergeCell ref="A1802:A1811"/>
    <mergeCell ref="A660:A703"/>
    <mergeCell ref="A749:A786"/>
    <mergeCell ref="A1558:A1605"/>
    <mergeCell ref="A373:A413"/>
    <mergeCell ref="A328:A372"/>
    <mergeCell ref="A245:A297"/>
    <mergeCell ref="A298:A327"/>
    <mergeCell ref="A414:A446"/>
    <mergeCell ref="A497:A535"/>
    <mergeCell ref="A447:A496"/>
    <mergeCell ref="A536:A605"/>
    <mergeCell ref="A1702:A1749"/>
    <mergeCell ref="A1089:A1136"/>
    <mergeCell ref="A1342:A1366"/>
    <mergeCell ref="A1266:A1292"/>
    <mergeCell ref="A1216:A1265"/>
    <mergeCell ref="A909:A943"/>
    <mergeCell ref="A944:A1022"/>
    <mergeCell ref="A1137:A1215"/>
    <mergeCell ref="A1052:A1088"/>
    <mergeCell ref="A1367:A1413"/>
    <mergeCell ref="A606:A627"/>
    <mergeCell ref="A4:F4"/>
    <mergeCell ref="A8:A96"/>
    <mergeCell ref="A97:A125"/>
    <mergeCell ref="A126:A158"/>
    <mergeCell ref="A159:A201"/>
    <mergeCell ref="A202:A244"/>
    <mergeCell ref="A1897:A1899"/>
    <mergeCell ref="A1900:A1901"/>
    <mergeCell ref="A1895:A1896"/>
    <mergeCell ref="A1890:A1894"/>
    <mergeCell ref="A1293:A1341"/>
    <mergeCell ref="A1815:A1820"/>
    <mergeCell ref="A1812:A1814"/>
    <mergeCell ref="A1606:A1653"/>
    <mergeCell ref="A1884:A1889"/>
    <mergeCell ref="A1830:A1833"/>
    <mergeCell ref="A1921:A1922"/>
    <mergeCell ref="A1923:A1925"/>
    <mergeCell ref="A1926:A1928"/>
    <mergeCell ref="A1929:A1930"/>
    <mergeCell ref="A1902:A1904"/>
    <mergeCell ref="A1905:A1907"/>
    <mergeCell ref="A1908:A1910"/>
    <mergeCell ref="A1911:A1912"/>
    <mergeCell ref="A1913:A1920"/>
    <mergeCell ref="A1931:A1933"/>
    <mergeCell ref="A1934:A1936"/>
    <mergeCell ref="A1958:A1960"/>
    <mergeCell ref="A1937:A1939"/>
    <mergeCell ref="A1940:A1943"/>
    <mergeCell ref="A1949:A1951"/>
    <mergeCell ref="A1952:A1955"/>
    <mergeCell ref="A1956:A1957"/>
    <mergeCell ref="A1985:A1986"/>
    <mergeCell ref="A1944:A1948"/>
    <mergeCell ref="A1961:A1963"/>
    <mergeCell ref="A1967:A1969"/>
    <mergeCell ref="A1970:A1972"/>
    <mergeCell ref="A1973:A1974"/>
    <mergeCell ref="A1964:A1966"/>
    <mergeCell ref="A1987:A1988"/>
    <mergeCell ref="A1989:A1990"/>
    <mergeCell ref="A1991:A1992"/>
    <mergeCell ref="A1993:A1994"/>
    <mergeCell ref="A1995:A1996"/>
    <mergeCell ref="A1975:A1976"/>
    <mergeCell ref="A1977:A1978"/>
    <mergeCell ref="A1979:A1980"/>
    <mergeCell ref="A1981:A1982"/>
    <mergeCell ref="A1983:A1984"/>
  </mergeCells>
  <phoneticPr fontId="0" type="noConversion"/>
  <printOptions horizontalCentered="1"/>
  <pageMargins left="0.39370078740157483" right="0" top="7.874015748031496E-2" bottom="0" header="0" footer="0"/>
  <pageSetup paperSize="9" scale="55" orientation="portrait" r:id="rId1"/>
  <headerFooter alignWithMargins="0"/>
  <rowBreaks count="1" manualBreakCount="1">
    <brk id="196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5"/>
  <sheetViews>
    <sheetView view="pageBreakPreview" zoomScale="75" zoomScaleNormal="65" zoomScaleSheetLayoutView="75" workbookViewId="0">
      <pane xSplit="2" ySplit="7" topLeftCell="C23" activePane="bottomRight" state="frozen"/>
      <selection pane="topRight" activeCell="C1" sqref="C1"/>
      <selection pane="bottomLeft" activeCell="A8" sqref="A8"/>
      <selection pane="bottomRight" activeCell="B48" sqref="B48:E55"/>
    </sheetView>
  </sheetViews>
  <sheetFormatPr defaultRowHeight="18.75"/>
  <cols>
    <col min="1" max="1" width="26.85546875" style="222" customWidth="1"/>
    <col min="2" max="2" width="44.42578125" style="418" customWidth="1"/>
    <col min="3" max="3" width="20.7109375" style="418" customWidth="1"/>
    <col min="4" max="4" width="22.5703125" style="418" customWidth="1"/>
    <col min="5" max="5" width="21.5703125" style="92" customWidth="1"/>
    <col min="6" max="6" width="16.85546875" style="7" hidden="1" customWidth="1"/>
    <col min="7" max="7" width="13.7109375" style="7" hidden="1" customWidth="1"/>
    <col min="8" max="8" width="16.42578125" style="7" customWidth="1"/>
    <col min="9" max="9" width="17.140625" style="7" customWidth="1"/>
    <col min="10" max="16384" width="9.140625" style="7"/>
  </cols>
  <sheetData>
    <row r="1" spans="1:43" s="104" customFormat="1" ht="20.25" customHeight="1">
      <c r="A1" s="219"/>
      <c r="B1" s="419"/>
      <c r="C1" s="419"/>
      <c r="D1" s="420" t="s">
        <v>901</v>
      </c>
      <c r="E1" s="92"/>
      <c r="G1" s="18"/>
      <c r="H1" s="9"/>
      <c r="I1" s="9">
        <v>1</v>
      </c>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row>
    <row r="2" spans="1:43" s="104" customFormat="1" ht="18" customHeight="1">
      <c r="A2" s="220"/>
      <c r="B2" s="421"/>
      <c r="C2" s="421"/>
      <c r="D2" s="420" t="s">
        <v>368</v>
      </c>
      <c r="E2" s="92"/>
      <c r="G2" s="18"/>
      <c r="H2" s="1434"/>
      <c r="I2" s="1434">
        <v>1</v>
      </c>
      <c r="J2" s="1434"/>
      <c r="K2" s="9"/>
      <c r="L2" s="521"/>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row>
    <row r="3" spans="1:43" s="104" customFormat="1" ht="18" customHeight="1">
      <c r="A3" s="220"/>
      <c r="B3" s="421"/>
      <c r="C3" s="421"/>
      <c r="D3" s="420" t="s">
        <v>2156</v>
      </c>
      <c r="E3" s="92"/>
      <c r="G3" s="18"/>
      <c r="H3" s="1434"/>
      <c r="I3" s="1434">
        <v>1</v>
      </c>
      <c r="J3" s="1434"/>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row>
    <row r="4" spans="1:43" s="104" customFormat="1" ht="63.75" customHeight="1">
      <c r="A4" s="1562" t="s">
        <v>960</v>
      </c>
      <c r="B4" s="1562"/>
      <c r="C4" s="1562"/>
      <c r="D4" s="1562"/>
      <c r="E4" s="1562"/>
      <c r="F4" s="1562"/>
      <c r="G4" s="5"/>
      <c r="H4" s="1434"/>
      <c r="I4" s="1434">
        <v>1</v>
      </c>
      <c r="J4" s="1434"/>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row>
    <row r="5" spans="1:43" ht="16.5" customHeight="1">
      <c r="A5" s="221"/>
      <c r="B5" s="422"/>
      <c r="C5" s="422"/>
      <c r="D5" s="422"/>
      <c r="E5" s="128" t="s">
        <v>982</v>
      </c>
      <c r="F5" s="105"/>
      <c r="G5" s="106"/>
      <c r="H5" s="1435"/>
      <c r="I5" s="1435">
        <v>1</v>
      </c>
      <c r="J5" s="1435"/>
    </row>
    <row r="6" spans="1:43" ht="54.75" customHeight="1">
      <c r="A6" s="901" t="s">
        <v>93</v>
      </c>
      <c r="B6" s="423" t="s">
        <v>83</v>
      </c>
      <c r="C6" s="423" t="s">
        <v>984</v>
      </c>
      <c r="D6" s="198" t="s">
        <v>64</v>
      </c>
      <c r="E6" s="198" t="s">
        <v>65</v>
      </c>
      <c r="F6" s="105"/>
      <c r="G6" s="106"/>
      <c r="H6" s="1435"/>
      <c r="I6" s="1435">
        <v>1</v>
      </c>
      <c r="J6" s="1435"/>
    </row>
    <row r="7" spans="1:43" ht="18" customHeight="1">
      <c r="A7" s="111">
        <v>1</v>
      </c>
      <c r="B7" s="606">
        <v>2</v>
      </c>
      <c r="C7" s="606">
        <v>3</v>
      </c>
      <c r="D7" s="423">
        <v>4</v>
      </c>
      <c r="E7" s="198">
        <v>5</v>
      </c>
      <c r="F7" s="105"/>
      <c r="G7" s="106"/>
      <c r="H7" s="1435"/>
      <c r="I7" s="1435">
        <v>1</v>
      </c>
      <c r="J7" s="1435"/>
    </row>
    <row r="8" spans="1:43" ht="37.5">
      <c r="A8" s="1571" t="s">
        <v>1119</v>
      </c>
      <c r="B8" s="1373" t="s">
        <v>1246</v>
      </c>
      <c r="C8" s="1374">
        <v>585000</v>
      </c>
      <c r="D8" s="1374">
        <v>585000</v>
      </c>
      <c r="E8" s="1374"/>
      <c r="F8" s="1376">
        <f>E8+D8-C8</f>
        <v>0</v>
      </c>
      <c r="G8" s="1376">
        <f>SUM(C8:E8)</f>
        <v>1170000</v>
      </c>
      <c r="H8" s="1436">
        <f>E8+D8-C8</f>
        <v>0</v>
      </c>
      <c r="I8" s="1436">
        <f>SUM(C8:E8)</f>
        <v>1170000</v>
      </c>
      <c r="J8" s="1439"/>
    </row>
    <row r="9" spans="1:43" ht="37.5">
      <c r="A9" s="1572"/>
      <c r="B9" s="1378" t="s">
        <v>2033</v>
      </c>
      <c r="C9" s="1388">
        <v>720000</v>
      </c>
      <c r="D9" s="1379">
        <v>720000</v>
      </c>
      <c r="E9" s="1379"/>
      <c r="F9" s="1380"/>
      <c r="G9" s="1381"/>
      <c r="H9" s="1447">
        <f>E9+D9-C9</f>
        <v>0</v>
      </c>
      <c r="I9" s="1436">
        <f>SUM(C9:E9)</f>
        <v>1440000</v>
      </c>
      <c r="J9" s="1439"/>
    </row>
    <row r="10" spans="1:43" ht="26.45" customHeight="1">
      <c r="A10" s="1573"/>
      <c r="B10" s="428" t="s">
        <v>985</v>
      </c>
      <c r="C10" s="547">
        <f>SUM(C8:C9)</f>
        <v>1305000</v>
      </c>
      <c r="D10" s="547">
        <f>SUM(D8:D9)</f>
        <v>1305000</v>
      </c>
      <c r="E10" s="547">
        <f>SUM(E8:E9)</f>
        <v>0</v>
      </c>
      <c r="F10" s="115"/>
      <c r="G10" s="115"/>
      <c r="H10" s="1436">
        <f>E10+D10-C10</f>
        <v>0</v>
      </c>
      <c r="I10" s="1436">
        <f>SUM(C10:E10)</f>
        <v>2610000</v>
      </c>
      <c r="J10" s="1439"/>
    </row>
    <row r="11" spans="1:43" ht="112.5">
      <c r="A11" s="1571" t="s">
        <v>1129</v>
      </c>
      <c r="B11" s="1378" t="s">
        <v>2029</v>
      </c>
      <c r="C11" s="1379">
        <v>1760753</v>
      </c>
      <c r="D11" s="1379">
        <v>1760753</v>
      </c>
      <c r="E11" s="1380"/>
      <c r="F11" s="1381"/>
      <c r="G11" s="1381"/>
      <c r="H11" s="1436">
        <f t="shared" ref="H11:H29" si="0">E11+D11-C11</f>
        <v>0</v>
      </c>
      <c r="I11" s="1436">
        <f t="shared" ref="I11:I29" si="1">SUM(C11:E11)</f>
        <v>3521506</v>
      </c>
      <c r="J11" s="1439"/>
    </row>
    <row r="12" spans="1:43" ht="93.75">
      <c r="A12" s="1572"/>
      <c r="B12" s="1378" t="s">
        <v>1267</v>
      </c>
      <c r="C12" s="1379">
        <v>997077</v>
      </c>
      <c r="D12" s="1379">
        <v>997077</v>
      </c>
      <c r="E12" s="1380"/>
      <c r="F12" s="1381"/>
      <c r="G12" s="1381"/>
      <c r="H12" s="1436">
        <f t="shared" ref="H12:H17" si="2">E12+D12-C12</f>
        <v>0</v>
      </c>
      <c r="I12" s="1436">
        <f t="shared" ref="I12:I17" si="3">SUM(C12:E12)</f>
        <v>1994154</v>
      </c>
      <c r="J12" s="1439"/>
    </row>
    <row r="13" spans="1:43" hidden="1">
      <c r="A13" s="1572"/>
      <c r="B13" s="1378"/>
      <c r="C13" s="1379"/>
      <c r="D13" s="1379"/>
      <c r="E13" s="1380"/>
      <c r="F13" s="1381"/>
      <c r="G13" s="1381"/>
      <c r="H13" s="1436">
        <f t="shared" si="2"/>
        <v>0</v>
      </c>
      <c r="I13" s="1436">
        <f t="shared" si="3"/>
        <v>0</v>
      </c>
      <c r="J13" s="1439"/>
    </row>
    <row r="14" spans="1:43" hidden="1">
      <c r="A14" s="1572"/>
      <c r="B14" s="524"/>
      <c r="C14" s="742"/>
      <c r="D14" s="743"/>
      <c r="E14" s="742"/>
      <c r="F14" s="115"/>
      <c r="G14" s="115"/>
      <c r="H14" s="1436">
        <f t="shared" si="2"/>
        <v>0</v>
      </c>
      <c r="I14" s="1436">
        <f t="shared" si="3"/>
        <v>0</v>
      </c>
      <c r="J14" s="1439"/>
    </row>
    <row r="15" spans="1:43" hidden="1">
      <c r="A15" s="1572"/>
      <c r="B15" s="524"/>
      <c r="C15" s="742"/>
      <c r="D15" s="743"/>
      <c r="E15" s="742"/>
      <c r="F15" s="115"/>
      <c r="G15" s="115"/>
      <c r="H15" s="1436">
        <f t="shared" si="2"/>
        <v>0</v>
      </c>
      <c r="I15" s="1436">
        <f t="shared" si="3"/>
        <v>0</v>
      </c>
      <c r="J15" s="1439"/>
    </row>
    <row r="16" spans="1:43" hidden="1">
      <c r="A16" s="1572"/>
      <c r="B16" s="524"/>
      <c r="C16" s="742"/>
      <c r="D16" s="743"/>
      <c r="E16" s="742"/>
      <c r="F16" s="115"/>
      <c r="G16" s="115"/>
      <c r="H16" s="1436">
        <f t="shared" si="2"/>
        <v>0</v>
      </c>
      <c r="I16" s="1436">
        <f t="shared" si="3"/>
        <v>0</v>
      </c>
      <c r="J16" s="1439"/>
    </row>
    <row r="17" spans="1:10" s="1386" customFormat="1" ht="30.6" customHeight="1">
      <c r="A17" s="1573"/>
      <c r="B17" s="1383" t="s">
        <v>985</v>
      </c>
      <c r="C17" s="1384">
        <f>SUM(C11:C16)</f>
        <v>2757830</v>
      </c>
      <c r="D17" s="1384">
        <f>SUM(D11:D16)</f>
        <v>2757830</v>
      </c>
      <c r="E17" s="1384">
        <f>SUM(E11:E16)</f>
        <v>0</v>
      </c>
      <c r="F17" s="1385"/>
      <c r="G17" s="1385"/>
      <c r="H17" s="1436">
        <f t="shared" si="2"/>
        <v>0</v>
      </c>
      <c r="I17" s="1436">
        <f t="shared" si="3"/>
        <v>5515660</v>
      </c>
      <c r="J17" s="1439"/>
    </row>
    <row r="18" spans="1:10" s="611" customFormat="1" ht="75">
      <c r="A18" s="1553" t="s">
        <v>1123</v>
      </c>
      <c r="B18" s="1378" t="s">
        <v>2045</v>
      </c>
      <c r="C18" s="1379">
        <v>1183623</v>
      </c>
      <c r="D18" s="1379">
        <v>1183623</v>
      </c>
      <c r="E18" s="1380"/>
      <c r="F18" s="1381"/>
      <c r="G18" s="1381"/>
      <c r="H18" s="1436">
        <f t="shared" si="0"/>
        <v>0</v>
      </c>
      <c r="I18" s="1436">
        <f t="shared" si="1"/>
        <v>2367246</v>
      </c>
      <c r="J18" s="1439"/>
    </row>
    <row r="19" spans="1:10" s="611" customFormat="1" hidden="1">
      <c r="A19" s="1554"/>
      <c r="B19" s="616"/>
      <c r="C19" s="745"/>
      <c r="D19" s="745"/>
      <c r="E19" s="746"/>
      <c r="F19" s="614"/>
      <c r="G19" s="614"/>
      <c r="H19" s="1436">
        <f t="shared" si="0"/>
        <v>0</v>
      </c>
      <c r="I19" s="1436">
        <f t="shared" si="1"/>
        <v>0</v>
      </c>
      <c r="J19" s="1439"/>
    </row>
    <row r="20" spans="1:10" ht="30" customHeight="1">
      <c r="A20" s="1555"/>
      <c r="B20" s="428" t="s">
        <v>985</v>
      </c>
      <c r="C20" s="547">
        <f>C18+C19</f>
        <v>1183623</v>
      </c>
      <c r="D20" s="547">
        <f>D18+D19</f>
        <v>1183623</v>
      </c>
      <c r="E20" s="547">
        <f>E18+E19</f>
        <v>0</v>
      </c>
      <c r="F20" s="115"/>
      <c r="G20" s="115"/>
      <c r="H20" s="1436">
        <f t="shared" si="0"/>
        <v>0</v>
      </c>
      <c r="I20" s="1436">
        <f t="shared" si="1"/>
        <v>2367246</v>
      </c>
      <c r="J20" s="1439"/>
    </row>
    <row r="21" spans="1:10" s="622" customFormat="1" ht="131.25">
      <c r="A21" s="1553" t="s">
        <v>1108</v>
      </c>
      <c r="B21" s="1378" t="s">
        <v>2054</v>
      </c>
      <c r="C21" s="1379">
        <v>773330</v>
      </c>
      <c r="D21" s="1380">
        <v>773330</v>
      </c>
      <c r="E21" s="1380"/>
      <c r="F21" s="1381"/>
      <c r="G21" s="1381"/>
      <c r="H21" s="1436">
        <f t="shared" si="0"/>
        <v>0</v>
      </c>
      <c r="I21" s="1436">
        <f t="shared" si="1"/>
        <v>1546660</v>
      </c>
      <c r="J21" s="1439"/>
    </row>
    <row r="22" spans="1:10" s="622" customFormat="1" hidden="1">
      <c r="A22" s="1554"/>
      <c r="B22" s="541"/>
      <c r="C22" s="586"/>
      <c r="D22" s="586"/>
      <c r="E22" s="586"/>
      <c r="F22" s="115"/>
      <c r="G22" s="115"/>
      <c r="H22" s="1436">
        <f t="shared" si="0"/>
        <v>0</v>
      </c>
      <c r="I22" s="1436">
        <f t="shared" si="1"/>
        <v>0</v>
      </c>
      <c r="J22" s="1439"/>
    </row>
    <row r="23" spans="1:10" ht="30.6" customHeight="1">
      <c r="A23" s="1555"/>
      <c r="B23" s="428" t="s">
        <v>985</v>
      </c>
      <c r="C23" s="559">
        <f>SUM(C21:C22)</f>
        <v>773330</v>
      </c>
      <c r="D23" s="559">
        <f>SUM(D21:D22)</f>
        <v>773330</v>
      </c>
      <c r="E23" s="559">
        <f>SUM(E21:E22)</f>
        <v>0</v>
      </c>
      <c r="F23" s="115"/>
      <c r="G23" s="115"/>
      <c r="H23" s="1436">
        <f t="shared" si="0"/>
        <v>0</v>
      </c>
      <c r="I23" s="1436">
        <f t="shared" si="1"/>
        <v>1546660</v>
      </c>
      <c r="J23" s="1439"/>
    </row>
    <row r="24" spans="1:10" hidden="1">
      <c r="A24" s="1558" t="s">
        <v>771</v>
      </c>
      <c r="B24" s="628"/>
      <c r="C24" s="747"/>
      <c r="D24" s="747"/>
      <c r="E24" s="747"/>
      <c r="F24" s="620">
        <v>0</v>
      </c>
      <c r="G24" s="620">
        <v>0</v>
      </c>
      <c r="H24" s="1436">
        <f t="shared" si="0"/>
        <v>0</v>
      </c>
      <c r="I24" s="1436">
        <f t="shared" si="1"/>
        <v>0</v>
      </c>
      <c r="J24" s="1439"/>
    </row>
    <row r="25" spans="1:10" ht="18" hidden="1" customHeight="1">
      <c r="A25" s="1558"/>
      <c r="B25" s="428" t="s">
        <v>985</v>
      </c>
      <c r="C25" s="748">
        <f>C24</f>
        <v>0</v>
      </c>
      <c r="D25" s="748">
        <f>D24</f>
        <v>0</v>
      </c>
      <c r="E25" s="748">
        <f>E24</f>
        <v>0</v>
      </c>
      <c r="F25" s="178">
        <v>0</v>
      </c>
      <c r="G25" s="178">
        <v>66800</v>
      </c>
      <c r="H25" s="1436">
        <f t="shared" si="0"/>
        <v>0</v>
      </c>
      <c r="I25" s="1436">
        <f t="shared" si="1"/>
        <v>0</v>
      </c>
      <c r="J25" s="1439"/>
    </row>
    <row r="26" spans="1:10" hidden="1">
      <c r="A26" s="1553" t="s">
        <v>40</v>
      </c>
      <c r="B26" s="758"/>
      <c r="C26" s="761"/>
      <c r="D26" s="761"/>
      <c r="E26" s="762"/>
      <c r="F26" s="115"/>
      <c r="G26" s="115"/>
      <c r="H26" s="1436">
        <f t="shared" si="0"/>
        <v>0</v>
      </c>
      <c r="I26" s="1436">
        <f t="shared" si="1"/>
        <v>0</v>
      </c>
      <c r="J26" s="1439"/>
    </row>
    <row r="27" spans="1:10" ht="18" hidden="1" customHeight="1">
      <c r="A27" s="1555"/>
      <c r="B27" s="428" t="s">
        <v>985</v>
      </c>
      <c r="C27" s="559">
        <f>C26</f>
        <v>0</v>
      </c>
      <c r="D27" s="559">
        <f>D26</f>
        <v>0</v>
      </c>
      <c r="E27" s="559">
        <f>E26</f>
        <v>0</v>
      </c>
      <c r="F27" s="115"/>
      <c r="G27" s="115"/>
      <c r="H27" s="1436">
        <f t="shared" si="0"/>
        <v>0</v>
      </c>
      <c r="I27" s="1436">
        <f t="shared" si="1"/>
        <v>0</v>
      </c>
      <c r="J27" s="1439"/>
    </row>
    <row r="28" spans="1:10" ht="108" hidden="1" customHeight="1">
      <c r="A28" s="1553" t="s">
        <v>107</v>
      </c>
      <c r="B28" s="821"/>
      <c r="C28" s="818"/>
      <c r="D28" s="818"/>
      <c r="E28" s="818"/>
      <c r="F28" s="822"/>
      <c r="G28" s="822"/>
      <c r="H28" s="1436">
        <f t="shared" si="0"/>
        <v>0</v>
      </c>
      <c r="I28" s="1436">
        <f t="shared" si="1"/>
        <v>0</v>
      </c>
      <c r="J28" s="1439"/>
    </row>
    <row r="29" spans="1:10" ht="27.6" hidden="1" customHeight="1">
      <c r="A29" s="1555"/>
      <c r="B29" s="428" t="s">
        <v>985</v>
      </c>
      <c r="C29" s="559">
        <f>C28</f>
        <v>0</v>
      </c>
      <c r="D29" s="559">
        <f>D28</f>
        <v>0</v>
      </c>
      <c r="E29" s="559">
        <f>E28</f>
        <v>0</v>
      </c>
      <c r="F29" s="115"/>
      <c r="G29" s="115"/>
      <c r="H29" s="1436">
        <f t="shared" si="0"/>
        <v>0</v>
      </c>
      <c r="I29" s="1436">
        <f t="shared" si="1"/>
        <v>0</v>
      </c>
      <c r="J29" s="1439"/>
    </row>
    <row r="30" spans="1:10" ht="18" hidden="1" customHeight="1">
      <c r="A30" s="1553"/>
      <c r="B30" s="425"/>
      <c r="C30" s="749"/>
      <c r="D30" s="749"/>
      <c r="E30" s="749"/>
      <c r="F30" s="115"/>
      <c r="G30" s="115"/>
      <c r="H30" s="1436">
        <f t="shared" ref="H30:H40" si="4">E30+D30-C30</f>
        <v>0</v>
      </c>
      <c r="I30" s="1436">
        <f t="shared" ref="I30:I40" si="5">SUM(C30:E30)</f>
        <v>0</v>
      </c>
      <c r="J30" s="1439"/>
    </row>
    <row r="31" spans="1:10" ht="18" hidden="1" customHeight="1">
      <c r="A31" s="1555"/>
      <c r="B31" s="428" t="s">
        <v>199</v>
      </c>
      <c r="C31" s="744">
        <f>C30</f>
        <v>0</v>
      </c>
      <c r="D31" s="744">
        <f>D30</f>
        <v>0</v>
      </c>
      <c r="E31" s="744">
        <f>E30</f>
        <v>0</v>
      </c>
      <c r="F31" s="115"/>
      <c r="G31" s="115"/>
      <c r="H31" s="1436">
        <f t="shared" si="4"/>
        <v>0</v>
      </c>
      <c r="I31" s="1436">
        <f t="shared" si="5"/>
        <v>0</v>
      </c>
      <c r="J31" s="1439"/>
    </row>
    <row r="32" spans="1:10" ht="18" hidden="1" customHeight="1">
      <c r="A32" s="1553"/>
      <c r="B32" s="425"/>
      <c r="C32" s="749"/>
      <c r="D32" s="749"/>
      <c r="E32" s="749"/>
      <c r="F32" s="115"/>
      <c r="G32" s="115"/>
      <c r="H32" s="1436">
        <f t="shared" si="4"/>
        <v>0</v>
      </c>
      <c r="I32" s="1436">
        <f t="shared" si="5"/>
        <v>0</v>
      </c>
      <c r="J32" s="1439"/>
    </row>
    <row r="33" spans="1:10" ht="18" hidden="1" customHeight="1">
      <c r="A33" s="1555"/>
      <c r="B33" s="428" t="s">
        <v>199</v>
      </c>
      <c r="C33" s="744">
        <f>C32</f>
        <v>0</v>
      </c>
      <c r="D33" s="744">
        <f>D32</f>
        <v>0</v>
      </c>
      <c r="E33" s="744">
        <f>E32</f>
        <v>0</v>
      </c>
      <c r="F33" s="115"/>
      <c r="G33" s="115"/>
      <c r="H33" s="1436">
        <f t="shared" si="4"/>
        <v>0</v>
      </c>
      <c r="I33" s="1436">
        <f t="shared" si="5"/>
        <v>0</v>
      </c>
      <c r="J33" s="1439"/>
    </row>
    <row r="34" spans="1:10" ht="18" hidden="1" customHeight="1">
      <c r="A34" s="1553"/>
      <c r="B34" s="425"/>
      <c r="C34" s="749"/>
      <c r="D34" s="749"/>
      <c r="E34" s="749"/>
      <c r="F34" s="115"/>
      <c r="G34" s="115"/>
      <c r="H34" s="1436">
        <f t="shared" si="4"/>
        <v>0</v>
      </c>
      <c r="I34" s="1436">
        <f t="shared" si="5"/>
        <v>0</v>
      </c>
      <c r="J34" s="1439"/>
    </row>
    <row r="35" spans="1:10" hidden="1">
      <c r="A35" s="1555"/>
      <c r="B35" s="428" t="s">
        <v>199</v>
      </c>
      <c r="C35" s="744">
        <f>C34</f>
        <v>0</v>
      </c>
      <c r="D35" s="744">
        <f>D34</f>
        <v>0</v>
      </c>
      <c r="E35" s="744">
        <f>E34</f>
        <v>0</v>
      </c>
      <c r="F35" s="115"/>
      <c r="G35" s="115"/>
      <c r="H35" s="1436">
        <f t="shared" si="4"/>
        <v>0</v>
      </c>
      <c r="I35" s="1436">
        <f t="shared" si="5"/>
        <v>0</v>
      </c>
      <c r="J35" s="1439"/>
    </row>
    <row r="36" spans="1:10" hidden="1">
      <c r="A36" s="1553"/>
      <c r="B36" s="425"/>
      <c r="C36" s="749"/>
      <c r="D36" s="749"/>
      <c r="E36" s="749"/>
      <c r="F36" s="115"/>
      <c r="G36" s="115"/>
      <c r="H36" s="1436">
        <f t="shared" si="4"/>
        <v>0</v>
      </c>
      <c r="I36" s="1436">
        <f t="shared" si="5"/>
        <v>0</v>
      </c>
      <c r="J36" s="1439"/>
    </row>
    <row r="37" spans="1:10" hidden="1">
      <c r="A37" s="1555"/>
      <c r="B37" s="428" t="s">
        <v>199</v>
      </c>
      <c r="C37" s="744">
        <f>C36</f>
        <v>0</v>
      </c>
      <c r="D37" s="744">
        <f>D36</f>
        <v>0</v>
      </c>
      <c r="E37" s="744">
        <f>E36</f>
        <v>0</v>
      </c>
      <c r="F37" s="115"/>
      <c r="G37" s="115"/>
      <c r="H37" s="1436">
        <f t="shared" si="4"/>
        <v>0</v>
      </c>
      <c r="I37" s="1436">
        <f t="shared" si="5"/>
        <v>0</v>
      </c>
      <c r="J37" s="1439"/>
    </row>
    <row r="38" spans="1:10" hidden="1">
      <c r="A38" s="1571"/>
      <c r="B38" s="524"/>
      <c r="C38" s="742"/>
      <c r="D38" s="743"/>
      <c r="E38" s="742"/>
      <c r="F38" s="115"/>
      <c r="G38" s="115"/>
      <c r="H38" s="1436">
        <f t="shared" si="4"/>
        <v>0</v>
      </c>
      <c r="I38" s="1436">
        <f t="shared" si="5"/>
        <v>0</v>
      </c>
      <c r="J38" s="1439"/>
    </row>
    <row r="39" spans="1:10" hidden="1">
      <c r="A39" s="1573"/>
      <c r="B39" s="428" t="s">
        <v>199</v>
      </c>
      <c r="C39" s="744">
        <f>C38</f>
        <v>0</v>
      </c>
      <c r="D39" s="744">
        <f>D38</f>
        <v>0</v>
      </c>
      <c r="E39" s="744">
        <f>E38</f>
        <v>0</v>
      </c>
      <c r="F39" s="115"/>
      <c r="G39" s="115"/>
      <c r="H39" s="1436">
        <f t="shared" si="4"/>
        <v>0</v>
      </c>
      <c r="I39" s="1436">
        <f t="shared" si="5"/>
        <v>0</v>
      </c>
      <c r="J39" s="1439"/>
    </row>
    <row r="40" spans="1:10" ht="0.75" hidden="1" customHeight="1">
      <c r="A40" s="111"/>
      <c r="B40" s="414"/>
      <c r="C40" s="749"/>
      <c r="D40" s="749"/>
      <c r="E40" s="750"/>
      <c r="F40" s="115"/>
      <c r="G40" s="115"/>
      <c r="H40" s="1436">
        <f t="shared" si="4"/>
        <v>0</v>
      </c>
      <c r="I40" s="1436">
        <f t="shared" si="5"/>
        <v>0</v>
      </c>
      <c r="J40" s="1439"/>
    </row>
    <row r="41" spans="1:10">
      <c r="A41" s="1556" t="s">
        <v>66</v>
      </c>
      <c r="B41" s="1557"/>
      <c r="C41" s="751">
        <f>C10+C17+C20+C23+C25+C27+C29+C31+C33+C35+C37+C39</f>
        <v>6019783</v>
      </c>
      <c r="D41" s="751">
        <f>D10+D17+D20+D23+D25+D27+D29+D31+D33+D35+D37+D39</f>
        <v>6019783</v>
      </c>
      <c r="E41" s="751">
        <f>E10+E17+E20+E23+E25+E27+E29+E31+E33+E35+E37+E39</f>
        <v>0</v>
      </c>
      <c r="F41" s="481">
        <f>F10+F17+F20+F23+F25+F27+F29+F31+F33+F35+F37+F39</f>
        <v>0</v>
      </c>
      <c r="G41" s="481">
        <f>G10+G17+G20+G23+G25+G27+G29+G31+G33+G35+G37+G39</f>
        <v>66800</v>
      </c>
      <c r="H41" s="1436">
        <f>E41+D41-C41</f>
        <v>0</v>
      </c>
      <c r="I41" s="1436">
        <f>SUM(C41:E41)</f>
        <v>12039566</v>
      </c>
      <c r="J41" s="1439"/>
    </row>
    <row r="42" spans="1:10">
      <c r="A42" s="246"/>
      <c r="B42" s="434"/>
      <c r="C42" s="416"/>
      <c r="D42" s="416"/>
      <c r="E42" s="416"/>
      <c r="F42" s="245"/>
      <c r="G42" s="245"/>
      <c r="H42" s="1436">
        <v>1</v>
      </c>
      <c r="I42" s="1436">
        <v>1</v>
      </c>
      <c r="J42" s="1435"/>
    </row>
    <row r="43" spans="1:10">
      <c r="A43" s="246"/>
      <c r="B43" s="434"/>
      <c r="C43" s="416"/>
      <c r="D43" s="416"/>
      <c r="E43" s="416"/>
      <c r="F43" s="245"/>
      <c r="G43" s="245"/>
      <c r="H43" s="1436">
        <v>1</v>
      </c>
      <c r="I43" s="1436">
        <v>1</v>
      </c>
      <c r="J43" s="1435"/>
    </row>
    <row r="44" spans="1:10">
      <c r="A44" s="163" t="s">
        <v>211</v>
      </c>
      <c r="B44" s="435"/>
      <c r="C44" s="436"/>
      <c r="D44" s="437"/>
      <c r="E44" s="435" t="s">
        <v>212</v>
      </c>
      <c r="F44" s="245"/>
      <c r="G44" s="245"/>
      <c r="H44" s="1436">
        <v>1</v>
      </c>
      <c r="I44" s="1436">
        <v>1</v>
      </c>
      <c r="J44" s="1435"/>
    </row>
    <row r="45" spans="1:10">
      <c r="A45" s="246"/>
      <c r="B45" s="434"/>
      <c r="C45" s="416"/>
      <c r="D45" s="416"/>
      <c r="E45" s="416"/>
      <c r="F45" s="245"/>
      <c r="G45" s="245"/>
      <c r="H45" s="1436">
        <v>1</v>
      </c>
      <c r="I45" s="1436">
        <v>1</v>
      </c>
      <c r="J45" s="1435"/>
    </row>
    <row r="46" spans="1:10">
      <c r="A46" s="246"/>
      <c r="B46" s="434"/>
      <c r="C46" s="416"/>
      <c r="D46" s="416"/>
      <c r="E46" s="416"/>
      <c r="F46" s="245"/>
      <c r="G46" s="245"/>
      <c r="H46" s="1436">
        <v>1</v>
      </c>
      <c r="I46" s="1436">
        <v>1</v>
      </c>
      <c r="J46" s="1435"/>
    </row>
    <row r="47" spans="1:10">
      <c r="E47" s="418"/>
      <c r="F47" s="340"/>
      <c r="H47" s="1436">
        <v>1</v>
      </c>
      <c r="I47" s="1436">
        <v>1</v>
      </c>
      <c r="J47" s="1435"/>
    </row>
    <row r="48" spans="1:10">
      <c r="A48" s="246"/>
      <c r="B48" s="434"/>
      <c r="C48" s="416"/>
      <c r="D48" s="416"/>
      <c r="E48" s="416"/>
      <c r="F48" s="245"/>
      <c r="G48" s="245"/>
      <c r="H48" s="1436">
        <v>1</v>
      </c>
      <c r="I48" s="1436">
        <f>SUM(C48:E48)</f>
        <v>0</v>
      </c>
      <c r="J48" s="1435"/>
    </row>
    <row r="49" spans="1:10">
      <c r="C49" s="417"/>
      <c r="D49" s="417"/>
      <c r="E49" s="417"/>
      <c r="F49" s="417">
        <f>F41-дод1!F144</f>
        <v>-25729251</v>
      </c>
      <c r="G49" s="417">
        <f>G41-дод1!G144</f>
        <v>-77120953</v>
      </c>
      <c r="H49" s="1436">
        <v>1</v>
      </c>
      <c r="I49" s="1436">
        <f>SUM(C49:E49)</f>
        <v>0</v>
      </c>
      <c r="J49" s="1435"/>
    </row>
    <row r="50" spans="1:10" s="67" customFormat="1">
      <c r="A50" s="341"/>
      <c r="B50" s="438"/>
      <c r="C50" s="439"/>
      <c r="D50" s="439"/>
      <c r="E50" s="479"/>
      <c r="F50" s="7"/>
      <c r="G50" s="7"/>
      <c r="H50" s="1436">
        <v>1</v>
      </c>
      <c r="I50" s="1436">
        <f>SUM(C50:E50)</f>
        <v>0</v>
      </c>
      <c r="J50" s="1437"/>
    </row>
    <row r="51" spans="1:10">
      <c r="C51" s="417"/>
      <c r="D51" s="417"/>
      <c r="E51" s="208"/>
      <c r="F51" s="69">
        <f>F41-дод1!F145</f>
        <v>-12819365</v>
      </c>
      <c r="G51" s="69">
        <f>G41-дод1!G145</f>
        <v>-39109295</v>
      </c>
      <c r="H51" s="1436">
        <v>1</v>
      </c>
      <c r="I51" s="1436">
        <f>SUM(C51:E51)</f>
        <v>0</v>
      </c>
      <c r="J51" s="1435"/>
    </row>
    <row r="52" spans="1:10">
      <c r="A52" s="7"/>
      <c r="B52" s="7"/>
      <c r="E52" s="418"/>
      <c r="H52" s="1435">
        <v>1</v>
      </c>
      <c r="I52" s="1435"/>
      <c r="J52" s="1435"/>
    </row>
    <row r="53" spans="1:10">
      <c r="H53" s="1435"/>
      <c r="I53" s="1435"/>
      <c r="J53" s="1435"/>
    </row>
    <row r="54" spans="1:10">
      <c r="C54" s="417"/>
      <c r="D54" s="417"/>
      <c r="E54" s="417"/>
      <c r="F54" s="417">
        <f>дод1!F143</f>
        <v>0</v>
      </c>
      <c r="G54" s="417">
        <f>дод1!G143</f>
        <v>0</v>
      </c>
      <c r="H54" s="1435"/>
      <c r="I54" s="1435"/>
      <c r="J54" s="1435"/>
    </row>
    <row r="55" spans="1:10" s="376" customFormat="1">
      <c r="A55" s="495"/>
      <c r="B55" s="496"/>
      <c r="C55" s="497"/>
      <c r="D55" s="497"/>
      <c r="E55" s="497"/>
      <c r="F55" s="417">
        <f>F54-F51</f>
        <v>12819365</v>
      </c>
      <c r="G55" s="417">
        <f>G54-G51</f>
        <v>39109295</v>
      </c>
    </row>
  </sheetData>
  <autoFilter ref="I1:I52"/>
  <mergeCells count="14">
    <mergeCell ref="A38:A39"/>
    <mergeCell ref="A41:B41"/>
    <mergeCell ref="A26:A27"/>
    <mergeCell ref="A28:A29"/>
    <mergeCell ref="A30:A31"/>
    <mergeCell ref="A32:A33"/>
    <mergeCell ref="A34:A35"/>
    <mergeCell ref="A36:A37"/>
    <mergeCell ref="A4:F4"/>
    <mergeCell ref="A8:A10"/>
    <mergeCell ref="A11:A17"/>
    <mergeCell ref="A18:A20"/>
    <mergeCell ref="A21:A23"/>
    <mergeCell ref="A24:A25"/>
  </mergeCells>
  <printOptions horizontalCentered="1"/>
  <pageMargins left="0.39370078740157483" right="0" top="7.874015748031496E-2" bottom="0" header="0" footer="0"/>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O39"/>
  <sheetViews>
    <sheetView view="pageBreakPreview" topLeftCell="A13" zoomScale="75" zoomScaleNormal="75" zoomScaleSheetLayoutView="75" workbookViewId="0">
      <selection activeCell="B33" sqref="B33:F41"/>
    </sheetView>
  </sheetViews>
  <sheetFormatPr defaultRowHeight="12.75"/>
  <cols>
    <col min="1" max="1" width="10.42578125" customWidth="1"/>
    <col min="2" max="2" width="69.42578125" customWidth="1"/>
    <col min="3" max="3" width="21.42578125" customWidth="1"/>
    <col min="4" max="4" width="23.140625" customWidth="1"/>
    <col min="5" max="5" width="21.7109375" customWidth="1"/>
    <col min="6" max="6" width="22.85546875" customWidth="1"/>
    <col min="7" max="7" width="0.42578125" hidden="1" customWidth="1"/>
    <col min="8" max="8" width="30.42578125" customWidth="1"/>
    <col min="9" max="9" width="15.7109375" bestFit="1" customWidth="1"/>
    <col min="10" max="10" width="15" customWidth="1"/>
  </cols>
  <sheetData>
    <row r="1" spans="1:10" ht="18.75">
      <c r="A1" s="4"/>
      <c r="B1" s="18"/>
      <c r="C1" s="18"/>
      <c r="E1" s="18" t="s">
        <v>304</v>
      </c>
    </row>
    <row r="2" spans="1:10" ht="18.75">
      <c r="B2" s="25"/>
      <c r="C2" s="25"/>
      <c r="E2" s="18" t="s">
        <v>368</v>
      </c>
    </row>
    <row r="3" spans="1:10" ht="18.75">
      <c r="A3" s="4"/>
      <c r="B3" s="18"/>
      <c r="C3" s="18"/>
      <c r="E3" s="18" t="s">
        <v>2153</v>
      </c>
      <c r="F3" s="18"/>
      <c r="G3" s="18"/>
      <c r="H3" s="18"/>
    </row>
    <row r="4" spans="1:10" ht="16.5">
      <c r="A4" s="4"/>
      <c r="B4" s="12"/>
      <c r="C4" s="12"/>
      <c r="D4" s="4"/>
    </row>
    <row r="5" spans="1:10" ht="22.5">
      <c r="A5" s="1576" t="s">
        <v>961</v>
      </c>
      <c r="B5" s="1576"/>
      <c r="C5" s="1576"/>
      <c r="D5" s="1576"/>
      <c r="E5" s="1576"/>
      <c r="F5" s="1576"/>
      <c r="G5" s="1576"/>
    </row>
    <row r="6" spans="1:10" ht="16.5">
      <c r="A6" s="13"/>
      <c r="B6" s="13"/>
      <c r="C6" s="13"/>
      <c r="F6" s="128" t="s">
        <v>982</v>
      </c>
    </row>
    <row r="7" spans="1:10" s="571" customFormat="1" ht="21.75" customHeight="1">
      <c r="A7" s="1577" t="s">
        <v>151</v>
      </c>
      <c r="B7" s="1577" t="s">
        <v>990</v>
      </c>
      <c r="C7" s="1581" t="s">
        <v>984</v>
      </c>
      <c r="D7" s="1579" t="s">
        <v>64</v>
      </c>
      <c r="E7" s="1574" t="s">
        <v>65</v>
      </c>
      <c r="F7" s="1575"/>
      <c r="H7" s="956"/>
    </row>
    <row r="8" spans="1:10" s="571" customFormat="1" ht="37.5" customHeight="1">
      <c r="A8" s="1578"/>
      <c r="B8" s="1578"/>
      <c r="C8" s="1582"/>
      <c r="D8" s="1580"/>
      <c r="E8" s="981" t="s">
        <v>991</v>
      </c>
      <c r="F8" s="982" t="s">
        <v>992</v>
      </c>
      <c r="H8" s="188"/>
    </row>
    <row r="9" spans="1:10" ht="23.25">
      <c r="A9" s="920">
        <v>1</v>
      </c>
      <c r="B9" s="920">
        <v>2</v>
      </c>
      <c r="C9" s="920">
        <v>3</v>
      </c>
      <c r="D9" s="920">
        <v>4</v>
      </c>
      <c r="E9" s="921">
        <v>5</v>
      </c>
      <c r="F9" s="921">
        <v>6</v>
      </c>
      <c r="H9" s="188"/>
    </row>
    <row r="10" spans="1:10" ht="23.25">
      <c r="A10" s="118" t="s">
        <v>993</v>
      </c>
      <c r="B10" s="925"/>
      <c r="C10" s="925"/>
      <c r="D10" s="925"/>
      <c r="E10" s="926"/>
      <c r="F10" s="927"/>
      <c r="H10" s="188"/>
    </row>
    <row r="11" spans="1:10" ht="22.5">
      <c r="A11" s="922">
        <v>200000</v>
      </c>
      <c r="B11" s="923" t="s">
        <v>369</v>
      </c>
      <c r="C11" s="924">
        <f>C15+C12</f>
        <v>383108241.21000004</v>
      </c>
      <c r="D11" s="924">
        <f>D15+D12</f>
        <v>-140696606.88</v>
      </c>
      <c r="E11" s="924">
        <f>E15+E12</f>
        <v>523804848.09000003</v>
      </c>
      <c r="F11" s="924">
        <f>F15+F12</f>
        <v>373338811.93000001</v>
      </c>
      <c r="H11" s="187"/>
    </row>
    <row r="12" spans="1:10" ht="39">
      <c r="A12" s="57">
        <v>206000</v>
      </c>
      <c r="B12" s="58" t="s">
        <v>316</v>
      </c>
      <c r="C12" s="191">
        <f>SUM(C13:C14)</f>
        <v>0</v>
      </c>
      <c r="D12" s="191">
        <f>SUM(D13:D14)</f>
        <v>0</v>
      </c>
      <c r="E12" s="191">
        <f>SUM(E13:E14)</f>
        <v>0</v>
      </c>
      <c r="F12" s="191">
        <f>SUM(F13:F14)</f>
        <v>0</v>
      </c>
      <c r="H12" s="187"/>
    </row>
    <row r="13" spans="1:10" ht="22.5">
      <c r="A13" s="59">
        <v>206110</v>
      </c>
      <c r="B13" s="60" t="s">
        <v>324</v>
      </c>
      <c r="C13" s="51">
        <f>D13+E13</f>
        <v>1000000000</v>
      </c>
      <c r="D13" s="51">
        <v>400000000</v>
      </c>
      <c r="E13" s="51">
        <v>600000000</v>
      </c>
      <c r="F13" s="379">
        <v>200000000</v>
      </c>
      <c r="H13" s="190"/>
    </row>
    <row r="14" spans="1:10" ht="18.75">
      <c r="A14" s="59">
        <v>206210</v>
      </c>
      <c r="B14" s="60" t="s">
        <v>229</v>
      </c>
      <c r="C14" s="51">
        <f>D14+E14</f>
        <v>-1000000000</v>
      </c>
      <c r="D14" s="51">
        <v>-400000000</v>
      </c>
      <c r="E14" s="51">
        <v>-600000000</v>
      </c>
      <c r="F14" s="379">
        <v>-200000000</v>
      </c>
      <c r="H14" s="189"/>
    </row>
    <row r="15" spans="1:10" ht="39">
      <c r="A15" s="57">
        <v>208000</v>
      </c>
      <c r="B15" s="58" t="s">
        <v>56</v>
      </c>
      <c r="C15" s="79">
        <f>C16-C17+C18</f>
        <v>383108241.21000004</v>
      </c>
      <c r="D15" s="191">
        <f>+D16-D17+D18</f>
        <v>-140696606.88</v>
      </c>
      <c r="E15" s="191">
        <f>+E16-E17+E18</f>
        <v>523804848.09000003</v>
      </c>
      <c r="F15" s="484">
        <f>+F16-F17+F18</f>
        <v>373338811.93000001</v>
      </c>
    </row>
    <row r="16" spans="1:10" ht="18.75">
      <c r="A16" s="59">
        <v>208100</v>
      </c>
      <c r="B16" s="60" t="s">
        <v>255</v>
      </c>
      <c r="C16" s="51">
        <f>D16+E16</f>
        <v>448101569.24000001</v>
      </c>
      <c r="D16" s="51">
        <v>174548589.91999999</v>
      </c>
      <c r="E16" s="51">
        <v>273552979.31999999</v>
      </c>
      <c r="F16" s="379">
        <v>121306094.44</v>
      </c>
      <c r="H16" s="71"/>
      <c r="I16" s="71"/>
      <c r="J16" s="71"/>
    </row>
    <row r="17" spans="1:15" ht="18.75">
      <c r="A17" s="59">
        <v>208200</v>
      </c>
      <c r="B17" s="60" t="s">
        <v>256</v>
      </c>
      <c r="C17" s="51">
        <f t="shared" ref="C17:C29" si="0">D17+E17</f>
        <v>64993328.029999986</v>
      </c>
      <c r="D17" s="51">
        <f>174548589.92-3591663-3000000-68569260-62328073-16394701.05-105000-379012</f>
        <v>20180880.869999986</v>
      </c>
      <c r="E17" s="51">
        <f>273552979.32-75142800-66272500-78274496-8614500-27458.16-408778</f>
        <v>44812447.159999996</v>
      </c>
      <c r="F17" s="379">
        <f>121306094.44-78274496</f>
        <v>43031598.439999998</v>
      </c>
    </row>
    <row r="18" spans="1:15" ht="37.5">
      <c r="A18" s="59">
        <v>208400</v>
      </c>
      <c r="B18" s="60" t="s">
        <v>251</v>
      </c>
      <c r="C18" s="51">
        <f t="shared" si="0"/>
        <v>0</v>
      </c>
      <c r="D18" s="51">
        <f>-175077300-38766100-11538500-3591663-3000000-76436354-26396400+180000+63560040-3148000-585000-9605489.93+9000-428437+173000+9000-10500000+165000-87112</f>
        <v>-295064315.93000001</v>
      </c>
      <c r="E18" s="51">
        <f>213843400+11538500+3591663+3000000+76436354+26396400-180000-63560040+3148000+585000+9605489.93-9000+428437-173000-9000+10500000-165000+87112</f>
        <v>295064315.93000001</v>
      </c>
      <c r="F18" s="51">
        <f>E18</f>
        <v>295064315.93000001</v>
      </c>
      <c r="H18" s="71"/>
    </row>
    <row r="19" spans="1:15" ht="18.75">
      <c r="A19" s="59" t="s">
        <v>994</v>
      </c>
      <c r="B19" s="61" t="s">
        <v>996</v>
      </c>
      <c r="C19" s="79">
        <f t="shared" si="0"/>
        <v>383108241.21000004</v>
      </c>
      <c r="D19" s="79">
        <f>D11</f>
        <v>-140696606.88</v>
      </c>
      <c r="E19" s="79">
        <f>E21</f>
        <v>523804848.09000003</v>
      </c>
      <c r="F19" s="79">
        <f>F21</f>
        <v>373338811.93000001</v>
      </c>
    </row>
    <row r="20" spans="1:15" ht="18.75">
      <c r="A20" s="118" t="s">
        <v>995</v>
      </c>
      <c r="B20" s="925"/>
      <c r="C20" s="925"/>
      <c r="D20" s="925"/>
      <c r="E20" s="926"/>
      <c r="F20" s="927"/>
    </row>
    <row r="21" spans="1:15" ht="18.75">
      <c r="A21" s="62">
        <v>600000</v>
      </c>
      <c r="B21" s="56" t="s">
        <v>247</v>
      </c>
      <c r="C21" s="79">
        <f>D21+E21</f>
        <v>383108241.21000004</v>
      </c>
      <c r="D21" s="79">
        <f>+D25</f>
        <v>-140696606.88</v>
      </c>
      <c r="E21" s="79">
        <f>+E25</f>
        <v>523804848.09000003</v>
      </c>
      <c r="F21" s="79">
        <f>+F25</f>
        <v>373338811.93000001</v>
      </c>
    </row>
    <row r="22" spans="1:15" ht="39">
      <c r="A22" s="57">
        <v>601000</v>
      </c>
      <c r="B22" s="58" t="s">
        <v>316</v>
      </c>
      <c r="C22" s="51">
        <f t="shared" si="0"/>
        <v>0</v>
      </c>
      <c r="D22" s="191">
        <f>D24+D23</f>
        <v>0</v>
      </c>
      <c r="E22" s="191">
        <f>E24+E23</f>
        <v>0</v>
      </c>
      <c r="F22" s="191">
        <f>F24+F23</f>
        <v>0</v>
      </c>
    </row>
    <row r="23" spans="1:15" ht="18.75">
      <c r="A23" s="59">
        <v>601110</v>
      </c>
      <c r="B23" s="60" t="s">
        <v>324</v>
      </c>
      <c r="C23" s="51">
        <f t="shared" si="0"/>
        <v>1000000000</v>
      </c>
      <c r="D23" s="51">
        <f t="shared" ref="D23:F24" si="1">D13</f>
        <v>400000000</v>
      </c>
      <c r="E23" s="51">
        <f t="shared" si="1"/>
        <v>600000000</v>
      </c>
      <c r="F23" s="51">
        <f t="shared" si="1"/>
        <v>200000000</v>
      </c>
    </row>
    <row r="24" spans="1:15" ht="18.75">
      <c r="A24" s="59">
        <v>601210</v>
      </c>
      <c r="B24" s="60" t="s">
        <v>229</v>
      </c>
      <c r="C24" s="51">
        <f t="shared" si="0"/>
        <v>-1000000000</v>
      </c>
      <c r="D24" s="51">
        <f t="shared" si="1"/>
        <v>-400000000</v>
      </c>
      <c r="E24" s="51">
        <f t="shared" si="1"/>
        <v>-600000000</v>
      </c>
      <c r="F24" s="51">
        <f t="shared" si="1"/>
        <v>-200000000</v>
      </c>
    </row>
    <row r="25" spans="1:15" ht="19.5">
      <c r="A25" s="57">
        <v>602000</v>
      </c>
      <c r="B25" s="58" t="s">
        <v>48</v>
      </c>
      <c r="C25" s="79">
        <f t="shared" si="0"/>
        <v>383108241.21000004</v>
      </c>
      <c r="D25" s="191">
        <f>+D26-D27+D28</f>
        <v>-140696606.88</v>
      </c>
      <c r="E25" s="191">
        <f>+E26-E27+E28</f>
        <v>523804848.09000003</v>
      </c>
      <c r="F25" s="191">
        <f>+F26-F27+F28</f>
        <v>373338811.93000001</v>
      </c>
    </row>
    <row r="26" spans="1:15" ht="18.75">
      <c r="A26" s="59">
        <v>602100</v>
      </c>
      <c r="B26" s="60" t="s">
        <v>255</v>
      </c>
      <c r="C26" s="51">
        <f t="shared" si="0"/>
        <v>448101569.24000001</v>
      </c>
      <c r="D26" s="51">
        <f t="shared" ref="D26:F27" si="2">+D16</f>
        <v>174548589.91999999</v>
      </c>
      <c r="E26" s="51">
        <f t="shared" si="2"/>
        <v>273552979.31999999</v>
      </c>
      <c r="F26" s="51">
        <f t="shared" si="2"/>
        <v>121306094.44</v>
      </c>
    </row>
    <row r="27" spans="1:15" ht="18.75">
      <c r="A27" s="59">
        <v>602200</v>
      </c>
      <c r="B27" s="60" t="s">
        <v>256</v>
      </c>
      <c r="C27" s="51">
        <f t="shared" si="0"/>
        <v>64993328.029999986</v>
      </c>
      <c r="D27" s="51">
        <f t="shared" si="2"/>
        <v>20180880.869999986</v>
      </c>
      <c r="E27" s="51">
        <f t="shared" si="2"/>
        <v>44812447.159999996</v>
      </c>
      <c r="F27" s="51">
        <f t="shared" si="2"/>
        <v>43031598.439999998</v>
      </c>
    </row>
    <row r="28" spans="1:15" ht="37.5" customHeight="1">
      <c r="A28" s="59">
        <v>602400</v>
      </c>
      <c r="B28" s="60" t="s">
        <v>251</v>
      </c>
      <c r="C28" s="51">
        <f t="shared" si="0"/>
        <v>0</v>
      </c>
      <c r="D28" s="51">
        <f>D18</f>
        <v>-295064315.93000001</v>
      </c>
      <c r="E28" s="51">
        <f>E18</f>
        <v>295064315.93000001</v>
      </c>
      <c r="F28" s="51">
        <f>F18</f>
        <v>295064315.93000001</v>
      </c>
    </row>
    <row r="29" spans="1:15" ht="18.75">
      <c r="A29" s="59" t="s">
        <v>994</v>
      </c>
      <c r="B29" s="61" t="s">
        <v>996</v>
      </c>
      <c r="C29" s="79">
        <f t="shared" si="0"/>
        <v>383108241.21000004</v>
      </c>
      <c r="D29" s="79">
        <f>+D21</f>
        <v>-140696606.88</v>
      </c>
      <c r="E29" s="79">
        <f>+E21</f>
        <v>523804848.09000003</v>
      </c>
      <c r="F29" s="79">
        <f>+F21</f>
        <v>373338811.93000001</v>
      </c>
    </row>
    <row r="30" spans="1:15" ht="69" customHeight="1">
      <c r="A30" s="63"/>
      <c r="B30" s="64"/>
      <c r="D30" s="10"/>
      <c r="E30" s="10"/>
      <c r="F30" s="10"/>
      <c r="G30" s="10"/>
    </row>
    <row r="31" spans="1:15" ht="21.95" customHeight="1">
      <c r="A31" s="54" t="s">
        <v>153</v>
      </c>
      <c r="B31" s="163" t="s">
        <v>211</v>
      </c>
      <c r="C31" s="163"/>
      <c r="D31" s="167"/>
      <c r="E31" s="168"/>
      <c r="F31" s="163" t="s">
        <v>212</v>
      </c>
      <c r="G31" s="20"/>
      <c r="H31" s="37"/>
      <c r="I31" s="8"/>
      <c r="J31" s="8"/>
      <c r="K31" s="6"/>
      <c r="L31" s="8"/>
      <c r="M31" s="36"/>
      <c r="N31" s="3"/>
      <c r="O31" s="3"/>
    </row>
    <row r="33" spans="3:7">
      <c r="C33" s="74"/>
      <c r="D33" s="74"/>
      <c r="E33" s="74"/>
      <c r="F33" s="74"/>
    </row>
    <row r="34" spans="3:7">
      <c r="C34" s="74"/>
      <c r="D34" s="74"/>
      <c r="E34" s="74"/>
      <c r="F34" s="74"/>
    </row>
    <row r="39" spans="3:7">
      <c r="C39" s="71"/>
      <c r="D39" s="71"/>
      <c r="E39" s="71"/>
      <c r="F39" s="71"/>
      <c r="G39" s="71">
        <f>G29-G38</f>
        <v>0</v>
      </c>
    </row>
  </sheetData>
  <mergeCells count="6">
    <mergeCell ref="E7:F7"/>
    <mergeCell ref="A5:G5"/>
    <mergeCell ref="A7:A8"/>
    <mergeCell ref="B7:B8"/>
    <mergeCell ref="D7:D8"/>
    <mergeCell ref="C7:C8"/>
  </mergeCells>
  <phoneticPr fontId="0" type="noConversion"/>
  <pageMargins left="0.78740157480314965" right="0.78740157480314965" top="0.19" bottom="0.16" header="0.17" footer="0.15748031496062992"/>
  <pageSetup paperSize="9" scale="77" orientation="landscape" horizontalDpi="4294967295"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filterMode="1"/>
  <dimension ref="A1:BK318"/>
  <sheetViews>
    <sheetView showZeros="0" view="pageBreakPreview" zoomScale="60" zoomScaleNormal="75" workbookViewId="0">
      <pane xSplit="5" ySplit="13" topLeftCell="F253" activePane="bottomRight" state="frozen"/>
      <selection pane="topRight" activeCell="D1" sqref="D1"/>
      <selection pane="bottomLeft" activeCell="A13" sqref="A13"/>
      <selection pane="bottomRight" activeCell="I320" sqref="I320"/>
    </sheetView>
  </sheetViews>
  <sheetFormatPr defaultRowHeight="12.75"/>
  <cols>
    <col min="1" max="1" width="14.42578125" style="1095" customWidth="1"/>
    <col min="2" max="2" width="13.7109375" style="1095" customWidth="1"/>
    <col min="3" max="3" width="16.85546875" style="1095" customWidth="1"/>
    <col min="4" max="4" width="44.28515625" style="992" customWidth="1"/>
    <col min="5" max="5" width="18.7109375" style="992" bestFit="1" customWidth="1"/>
    <col min="6" max="6" width="18.85546875" style="992" customWidth="1"/>
    <col min="7" max="7" width="18.42578125" style="992" customWidth="1"/>
    <col min="8" max="8" width="15.140625" style="992" customWidth="1"/>
    <col min="9" max="9" width="17.5703125" style="992" customWidth="1"/>
    <col min="10" max="10" width="17.140625" style="992" bestFit="1" customWidth="1"/>
    <col min="11" max="11" width="15.5703125" style="992" customWidth="1"/>
    <col min="12" max="12" width="13.85546875" style="992" customWidth="1"/>
    <col min="13" max="13" width="12.7109375" style="992" customWidth="1"/>
    <col min="14" max="14" width="17.42578125" style="992" customWidth="1"/>
    <col min="15" max="15" width="17" style="992" customWidth="1"/>
    <col min="16" max="16" width="18.140625" style="1096" customWidth="1"/>
    <col min="17" max="17" width="17.7109375" style="992" customWidth="1"/>
    <col min="18" max="18" width="20.28515625" style="992" customWidth="1"/>
    <col min="19" max="19" width="22.28515625" style="994" customWidth="1"/>
    <col min="20" max="20" width="21.42578125" style="994" customWidth="1"/>
    <col min="21" max="21" width="14.28515625" style="994" customWidth="1"/>
    <col min="22" max="22" width="17.28515625" style="994" customWidth="1"/>
    <col min="23" max="23" width="12.85546875" style="994" bestFit="1" customWidth="1"/>
    <col min="24" max="16384" width="9.140625" style="994"/>
  </cols>
  <sheetData>
    <row r="1" spans="1:47" ht="18.75">
      <c r="A1" s="990"/>
      <c r="B1" s="990"/>
      <c r="C1" s="990"/>
      <c r="D1" s="991"/>
      <c r="E1" s="991"/>
      <c r="F1" s="991"/>
      <c r="G1" s="991"/>
      <c r="H1" s="991"/>
      <c r="I1" s="991"/>
      <c r="J1" s="991"/>
      <c r="K1" s="991"/>
      <c r="M1" s="993"/>
      <c r="N1" s="1583" t="s">
        <v>305</v>
      </c>
      <c r="O1" s="1583"/>
      <c r="P1" s="1584"/>
      <c r="Q1" s="1583"/>
      <c r="R1" s="992">
        <v>1</v>
      </c>
    </row>
    <row r="2" spans="1:47" ht="18.75">
      <c r="A2" s="990"/>
      <c r="B2" s="990"/>
      <c r="C2" s="990"/>
      <c r="D2" s="991"/>
      <c r="E2" s="991"/>
      <c r="F2" s="991"/>
      <c r="G2" s="991"/>
      <c r="H2" s="991"/>
      <c r="I2" s="991" t="s">
        <v>367</v>
      </c>
      <c r="J2" s="991"/>
      <c r="K2" s="993"/>
      <c r="L2" s="993"/>
      <c r="M2" s="993"/>
      <c r="N2" s="1583" t="s">
        <v>368</v>
      </c>
      <c r="O2" s="1583"/>
      <c r="P2" s="1584"/>
      <c r="Q2" s="1583"/>
      <c r="R2" s="1448">
        <v>1</v>
      </c>
      <c r="S2" s="1449"/>
      <c r="T2" s="1449"/>
      <c r="U2" s="1449"/>
      <c r="V2" s="1449"/>
      <c r="W2" s="1449"/>
      <c r="X2" s="1449"/>
      <c r="Y2" s="1449"/>
      <c r="Z2" s="1449"/>
      <c r="AA2" s="1449"/>
      <c r="AB2" s="1449"/>
      <c r="AC2" s="1449"/>
      <c r="AD2" s="1449"/>
      <c r="AE2" s="1449"/>
      <c r="AF2" s="1449"/>
      <c r="AG2" s="1449"/>
      <c r="AH2" s="1449"/>
      <c r="AI2" s="1449"/>
      <c r="AJ2" s="1449"/>
      <c r="AK2" s="1449"/>
      <c r="AL2" s="1449"/>
      <c r="AM2" s="1449"/>
      <c r="AN2" s="1449"/>
      <c r="AO2" s="1449"/>
      <c r="AP2" s="1449"/>
      <c r="AQ2" s="1449"/>
      <c r="AR2" s="1449"/>
      <c r="AS2" s="1449"/>
      <c r="AT2" s="1449"/>
      <c r="AU2" s="1449"/>
    </row>
    <row r="3" spans="1:47" ht="18.75">
      <c r="A3" s="990"/>
      <c r="B3" s="990"/>
      <c r="C3" s="990"/>
      <c r="D3" s="991"/>
      <c r="E3" s="991"/>
      <c r="F3" s="991"/>
      <c r="G3" s="991"/>
      <c r="H3" s="991"/>
      <c r="I3" s="991"/>
      <c r="J3" s="991"/>
      <c r="K3" s="993"/>
      <c r="L3" s="995"/>
      <c r="M3" s="995"/>
      <c r="N3" s="1583" t="s">
        <v>2154</v>
      </c>
      <c r="O3" s="1583"/>
      <c r="P3" s="1584"/>
      <c r="Q3" s="1583"/>
      <c r="R3" s="1448">
        <v>1</v>
      </c>
      <c r="S3" s="1449"/>
      <c r="T3" s="1449"/>
      <c r="U3" s="1449"/>
      <c r="V3" s="1449"/>
      <c r="W3" s="1449"/>
      <c r="X3" s="1449"/>
      <c r="Y3" s="1449"/>
      <c r="Z3" s="1449"/>
      <c r="AA3" s="1449"/>
      <c r="AB3" s="1449"/>
      <c r="AC3" s="1449"/>
      <c r="AD3" s="1449"/>
      <c r="AE3" s="1449"/>
      <c r="AF3" s="1449"/>
      <c r="AG3" s="1449"/>
      <c r="AH3" s="1449"/>
      <c r="AI3" s="1449"/>
      <c r="AJ3" s="1449"/>
      <c r="AK3" s="1449"/>
      <c r="AL3" s="1449"/>
      <c r="AM3" s="1449"/>
      <c r="AN3" s="1449"/>
      <c r="AO3" s="1449"/>
      <c r="AP3" s="1449"/>
      <c r="AQ3" s="1449"/>
      <c r="AR3" s="1449"/>
      <c r="AS3" s="1449"/>
      <c r="AT3" s="1449"/>
      <c r="AU3" s="1449"/>
    </row>
    <row r="4" spans="1:47" s="455" customFormat="1" ht="22.5">
      <c r="A4" s="1599" t="s">
        <v>997</v>
      </c>
      <c r="B4" s="1599"/>
      <c r="C4" s="1599"/>
      <c r="D4" s="1599"/>
      <c r="E4" s="1599"/>
      <c r="F4" s="1599"/>
      <c r="G4" s="1599"/>
      <c r="H4" s="1599"/>
      <c r="I4" s="1599"/>
      <c r="J4" s="1599"/>
      <c r="K4" s="1599"/>
      <c r="L4" s="1599"/>
      <c r="M4" s="1599"/>
      <c r="N4" s="1599"/>
      <c r="O4" s="1599"/>
      <c r="P4" s="1599"/>
      <c r="Q4" s="1599"/>
      <c r="R4" s="1449">
        <v>1</v>
      </c>
      <c r="S4" s="1449"/>
      <c r="T4" s="1449"/>
      <c r="U4" s="1449"/>
      <c r="V4" s="1449"/>
      <c r="W4" s="1449"/>
      <c r="X4" s="1449"/>
      <c r="Y4" s="1449"/>
      <c r="Z4" s="1449"/>
      <c r="AA4" s="1449"/>
      <c r="AB4" s="1449"/>
      <c r="AC4" s="1449"/>
      <c r="AD4" s="1449"/>
      <c r="AE4" s="1449"/>
      <c r="AF4" s="1449"/>
      <c r="AG4" s="1449"/>
      <c r="AH4" s="1449"/>
      <c r="AI4" s="1449"/>
      <c r="AJ4" s="1449"/>
      <c r="AK4" s="1449"/>
      <c r="AL4" s="1449"/>
      <c r="AM4" s="1449"/>
      <c r="AN4" s="1449"/>
      <c r="AO4" s="1449"/>
      <c r="AP4" s="1449"/>
      <c r="AQ4" s="1449"/>
      <c r="AR4" s="1449"/>
      <c r="AS4" s="1449"/>
      <c r="AT4" s="1449"/>
      <c r="AU4" s="1449"/>
    </row>
    <row r="5" spans="1:47" ht="22.5">
      <c r="A5" s="1591" t="s">
        <v>998</v>
      </c>
      <c r="B5" s="1591"/>
      <c r="C5" s="1591"/>
      <c r="D5" s="1591"/>
      <c r="E5" s="1591"/>
      <c r="F5" s="1591"/>
      <c r="G5" s="1591"/>
      <c r="H5" s="1591"/>
      <c r="I5" s="1591"/>
      <c r="J5" s="1591"/>
      <c r="K5" s="1591"/>
      <c r="L5" s="1591"/>
      <c r="M5" s="1591"/>
      <c r="N5" s="1591"/>
      <c r="O5" s="1591"/>
      <c r="P5" s="1591"/>
      <c r="Q5" s="1591"/>
      <c r="R5" s="1449">
        <v>1</v>
      </c>
      <c r="S5" s="1449"/>
      <c r="T5" s="1449"/>
      <c r="U5" s="1449"/>
      <c r="V5" s="1449"/>
      <c r="W5" s="1449"/>
      <c r="X5" s="1449"/>
      <c r="Y5" s="1449"/>
      <c r="Z5" s="1449"/>
      <c r="AA5" s="1449"/>
      <c r="AB5" s="1449"/>
      <c r="AC5" s="1449"/>
      <c r="AD5" s="1449"/>
      <c r="AE5" s="1449"/>
      <c r="AF5" s="1449"/>
      <c r="AG5" s="1449"/>
      <c r="AH5" s="1449"/>
      <c r="AI5" s="1449"/>
      <c r="AJ5" s="1449"/>
      <c r="AK5" s="1449"/>
      <c r="AL5" s="1449"/>
      <c r="AM5" s="1449"/>
      <c r="AN5" s="1449"/>
      <c r="AO5" s="1449"/>
      <c r="AP5" s="1449"/>
      <c r="AQ5" s="1449"/>
      <c r="AR5" s="1449"/>
      <c r="AS5" s="1449"/>
      <c r="AT5" s="1449"/>
      <c r="AU5" s="1449"/>
    </row>
    <row r="6" spans="1:47" ht="16.5">
      <c r="A6" s="996"/>
      <c r="B6" s="996"/>
      <c r="C6" s="996"/>
      <c r="D6" s="997"/>
      <c r="E6" s="997"/>
      <c r="F6" s="997"/>
      <c r="G6" s="997"/>
      <c r="H6" s="997"/>
      <c r="I6" s="997"/>
      <c r="J6" s="997"/>
      <c r="K6" s="997"/>
      <c r="L6" s="994"/>
      <c r="M6" s="994"/>
      <c r="N6" s="997"/>
      <c r="O6" s="994"/>
      <c r="P6" s="992"/>
      <c r="Q6" s="998" t="s">
        <v>982</v>
      </c>
      <c r="R6" s="1449">
        <v>1</v>
      </c>
      <c r="S6" s="1449"/>
      <c r="T6" s="1449"/>
      <c r="U6" s="1449"/>
      <c r="V6" s="1449"/>
      <c r="W6" s="1449"/>
      <c r="X6" s="1449"/>
      <c r="Y6" s="1449"/>
      <c r="Z6" s="1449"/>
      <c r="AA6" s="1449"/>
      <c r="AB6" s="1449"/>
      <c r="AC6" s="1449"/>
      <c r="AD6" s="1449"/>
      <c r="AE6" s="1449"/>
      <c r="AF6" s="1449"/>
      <c r="AG6" s="1449"/>
      <c r="AH6" s="1449"/>
      <c r="AI6" s="1449"/>
      <c r="AJ6" s="1449"/>
      <c r="AK6" s="1449"/>
      <c r="AL6" s="1449"/>
      <c r="AM6" s="1449"/>
      <c r="AN6" s="1449"/>
      <c r="AO6" s="1449"/>
      <c r="AP6" s="1449"/>
      <c r="AQ6" s="1449"/>
      <c r="AR6" s="1449"/>
      <c r="AS6" s="1449"/>
      <c r="AT6" s="1449"/>
      <c r="AU6" s="1449"/>
    </row>
    <row r="7" spans="1:47" ht="16.5">
      <c r="A7" s="1592" t="s">
        <v>1001</v>
      </c>
      <c r="B7" s="1592" t="s">
        <v>999</v>
      </c>
      <c r="C7" s="1592" t="s">
        <v>1000</v>
      </c>
      <c r="D7" s="1596" t="s">
        <v>1002</v>
      </c>
      <c r="E7" s="1588" t="s">
        <v>64</v>
      </c>
      <c r="F7" s="1588"/>
      <c r="G7" s="1588"/>
      <c r="H7" s="1588"/>
      <c r="I7" s="1588"/>
      <c r="J7" s="1588" t="s">
        <v>65</v>
      </c>
      <c r="K7" s="1588"/>
      <c r="L7" s="1588"/>
      <c r="M7" s="1588"/>
      <c r="N7" s="1588"/>
      <c r="O7" s="1589"/>
      <c r="P7" s="1590"/>
      <c r="Q7" s="1585" t="s">
        <v>66</v>
      </c>
      <c r="R7" s="1449">
        <v>1</v>
      </c>
      <c r="S7" s="1449"/>
      <c r="T7" s="1449"/>
      <c r="U7" s="1449"/>
      <c r="V7" s="1449"/>
      <c r="W7" s="1449"/>
      <c r="X7" s="1449"/>
      <c r="Y7" s="1449"/>
      <c r="Z7" s="1449"/>
      <c r="AA7" s="1449"/>
      <c r="AB7" s="1449"/>
      <c r="AC7" s="1449"/>
      <c r="AD7" s="1449"/>
      <c r="AE7" s="1449"/>
      <c r="AF7" s="1449"/>
      <c r="AG7" s="1449"/>
      <c r="AH7" s="1449"/>
      <c r="AI7" s="1449"/>
      <c r="AJ7" s="1449"/>
      <c r="AK7" s="1449"/>
      <c r="AL7" s="1449"/>
      <c r="AM7" s="1449"/>
      <c r="AN7" s="1449"/>
      <c r="AO7" s="1449"/>
      <c r="AP7" s="1449"/>
      <c r="AQ7" s="1449"/>
      <c r="AR7" s="1449"/>
      <c r="AS7" s="1449"/>
      <c r="AT7" s="1449"/>
      <c r="AU7" s="1449"/>
    </row>
    <row r="8" spans="1:47" ht="16.5">
      <c r="A8" s="1593"/>
      <c r="B8" s="1593"/>
      <c r="C8" s="1593"/>
      <c r="D8" s="1597"/>
      <c r="E8" s="1587" t="s">
        <v>991</v>
      </c>
      <c r="F8" s="1595" t="s">
        <v>99</v>
      </c>
      <c r="G8" s="1602" t="s">
        <v>236</v>
      </c>
      <c r="H8" s="1602"/>
      <c r="I8" s="1595" t="s">
        <v>100</v>
      </c>
      <c r="J8" s="1587" t="s">
        <v>991</v>
      </c>
      <c r="K8" s="1595" t="s">
        <v>99</v>
      </c>
      <c r="L8" s="1602" t="s">
        <v>261</v>
      </c>
      <c r="M8" s="1602"/>
      <c r="N8" s="1603" t="s">
        <v>100</v>
      </c>
      <c r="O8" s="999" t="s">
        <v>261</v>
      </c>
      <c r="P8" s="1000"/>
      <c r="Q8" s="1585"/>
      <c r="R8" s="1449">
        <v>1</v>
      </c>
      <c r="S8" s="1449"/>
      <c r="T8" s="1449"/>
      <c r="U8" s="1449"/>
      <c r="V8" s="1449"/>
      <c r="W8" s="1449"/>
      <c r="X8" s="1449"/>
      <c r="Y8" s="1449"/>
      <c r="Z8" s="1449"/>
      <c r="AA8" s="1449"/>
      <c r="AB8" s="1449"/>
      <c r="AC8" s="1449"/>
      <c r="AD8" s="1449"/>
      <c r="AE8" s="1449"/>
      <c r="AF8" s="1449"/>
      <c r="AG8" s="1449"/>
      <c r="AH8" s="1449"/>
      <c r="AI8" s="1449"/>
      <c r="AJ8" s="1449"/>
      <c r="AK8" s="1449"/>
      <c r="AL8" s="1449"/>
      <c r="AM8" s="1449"/>
      <c r="AN8" s="1449"/>
      <c r="AO8" s="1449"/>
      <c r="AP8" s="1449"/>
      <c r="AQ8" s="1449"/>
      <c r="AR8" s="1449"/>
      <c r="AS8" s="1449"/>
      <c r="AT8" s="1449"/>
      <c r="AU8" s="1449"/>
    </row>
    <row r="9" spans="1:47" ht="16.5">
      <c r="A9" s="1593"/>
      <c r="B9" s="1593"/>
      <c r="C9" s="1593"/>
      <c r="D9" s="1597"/>
      <c r="E9" s="1587"/>
      <c r="F9" s="1595"/>
      <c r="G9" s="1602"/>
      <c r="H9" s="1602"/>
      <c r="I9" s="1595"/>
      <c r="J9" s="1587"/>
      <c r="K9" s="1595"/>
      <c r="L9" s="1602"/>
      <c r="M9" s="1602"/>
      <c r="N9" s="1595"/>
      <c r="O9" s="1586" t="s">
        <v>262</v>
      </c>
      <c r="P9" s="1001" t="s">
        <v>261</v>
      </c>
      <c r="Q9" s="1585"/>
      <c r="R9" s="1449">
        <v>1</v>
      </c>
      <c r="S9" s="1449"/>
      <c r="T9" s="1449"/>
      <c r="U9" s="1449"/>
      <c r="V9" s="1449"/>
      <c r="W9" s="1449"/>
      <c r="X9" s="1449"/>
      <c r="Y9" s="1449"/>
      <c r="Z9" s="1449"/>
      <c r="AA9" s="1449"/>
      <c r="AB9" s="1449"/>
      <c r="AC9" s="1449"/>
      <c r="AD9" s="1449"/>
      <c r="AE9" s="1449"/>
      <c r="AF9" s="1449"/>
      <c r="AG9" s="1449"/>
      <c r="AH9" s="1449"/>
      <c r="AI9" s="1449"/>
      <c r="AJ9" s="1449"/>
      <c r="AK9" s="1449"/>
      <c r="AL9" s="1449"/>
      <c r="AM9" s="1449"/>
      <c r="AN9" s="1449"/>
      <c r="AO9" s="1449"/>
      <c r="AP9" s="1449"/>
      <c r="AQ9" s="1449"/>
      <c r="AR9" s="1449"/>
      <c r="AS9" s="1449"/>
      <c r="AT9" s="1449"/>
      <c r="AU9" s="1449"/>
    </row>
    <row r="10" spans="1:47">
      <c r="A10" s="1593"/>
      <c r="B10" s="1593"/>
      <c r="C10" s="1593"/>
      <c r="D10" s="1597"/>
      <c r="E10" s="1587"/>
      <c r="F10" s="1595"/>
      <c r="G10" s="1587" t="s">
        <v>241</v>
      </c>
      <c r="H10" s="1587" t="s">
        <v>215</v>
      </c>
      <c r="I10" s="1595"/>
      <c r="J10" s="1587"/>
      <c r="K10" s="1595"/>
      <c r="L10" s="1587" t="s">
        <v>241</v>
      </c>
      <c r="M10" s="1587" t="s">
        <v>215</v>
      </c>
      <c r="N10" s="1595"/>
      <c r="O10" s="1587"/>
      <c r="P10" s="1600" t="s">
        <v>138</v>
      </c>
      <c r="Q10" s="1585"/>
      <c r="R10" s="1449">
        <v>1</v>
      </c>
      <c r="S10" s="1449"/>
      <c r="T10" s="1449"/>
      <c r="U10" s="1449"/>
      <c r="V10" s="1449"/>
      <c r="W10" s="1449"/>
      <c r="X10" s="1449"/>
      <c r="Y10" s="1449"/>
      <c r="Z10" s="1449"/>
      <c r="AA10" s="1449"/>
      <c r="AB10" s="1449"/>
      <c r="AC10" s="1449"/>
      <c r="AD10" s="1449"/>
      <c r="AE10" s="1449"/>
      <c r="AF10" s="1449"/>
      <c r="AG10" s="1449"/>
      <c r="AH10" s="1449"/>
      <c r="AI10" s="1449"/>
      <c r="AJ10" s="1449"/>
      <c r="AK10" s="1449"/>
      <c r="AL10" s="1449"/>
      <c r="AM10" s="1449"/>
      <c r="AN10" s="1449"/>
      <c r="AO10" s="1449"/>
      <c r="AP10" s="1449"/>
      <c r="AQ10" s="1449"/>
      <c r="AR10" s="1449"/>
      <c r="AS10" s="1449"/>
      <c r="AT10" s="1449"/>
      <c r="AU10" s="1449"/>
    </row>
    <row r="11" spans="1:47">
      <c r="A11" s="1593"/>
      <c r="B11" s="1593"/>
      <c r="C11" s="1593"/>
      <c r="D11" s="1597"/>
      <c r="E11" s="1587"/>
      <c r="F11" s="1595"/>
      <c r="G11" s="1587"/>
      <c r="H11" s="1587"/>
      <c r="I11" s="1595"/>
      <c r="J11" s="1587"/>
      <c r="K11" s="1595"/>
      <c r="L11" s="1587"/>
      <c r="M11" s="1587"/>
      <c r="N11" s="1595"/>
      <c r="O11" s="1587"/>
      <c r="P11" s="1600"/>
      <c r="Q11" s="1585"/>
      <c r="R11" s="1449">
        <v>1</v>
      </c>
      <c r="S11" s="1449"/>
      <c r="T11" s="1449"/>
      <c r="U11" s="1449"/>
      <c r="V11" s="1449"/>
      <c r="W11" s="1449"/>
      <c r="X11" s="1449"/>
      <c r="Y11" s="1449"/>
      <c r="Z11" s="1449"/>
      <c r="AA11" s="1449"/>
      <c r="AB11" s="1449"/>
      <c r="AC11" s="1449"/>
      <c r="AD11" s="1449"/>
      <c r="AE11" s="1449"/>
      <c r="AF11" s="1449"/>
      <c r="AG11" s="1449"/>
      <c r="AH11" s="1449"/>
      <c r="AI11" s="1449"/>
      <c r="AJ11" s="1449"/>
      <c r="AK11" s="1449"/>
      <c r="AL11" s="1449"/>
      <c r="AM11" s="1449"/>
      <c r="AN11" s="1449"/>
      <c r="AO11" s="1449"/>
      <c r="AP11" s="1449"/>
      <c r="AQ11" s="1449"/>
      <c r="AR11" s="1449"/>
      <c r="AS11" s="1449"/>
      <c r="AT11" s="1449"/>
      <c r="AU11" s="1449"/>
    </row>
    <row r="12" spans="1:47" ht="60.6" customHeight="1">
      <c r="A12" s="1594"/>
      <c r="B12" s="1594"/>
      <c r="C12" s="1594"/>
      <c r="D12" s="1598"/>
      <c r="E12" s="1587"/>
      <c r="F12" s="1595"/>
      <c r="G12" s="1587"/>
      <c r="H12" s="1587"/>
      <c r="I12" s="1595"/>
      <c r="J12" s="1587"/>
      <c r="K12" s="1595"/>
      <c r="L12" s="1587"/>
      <c r="M12" s="1587"/>
      <c r="N12" s="1595"/>
      <c r="O12" s="1587"/>
      <c r="P12" s="1601"/>
      <c r="Q12" s="1585"/>
      <c r="R12" s="1449">
        <v>1</v>
      </c>
      <c r="S12" s="1449"/>
      <c r="T12" s="1449"/>
      <c r="U12" s="1449"/>
      <c r="V12" s="1449"/>
      <c r="W12" s="1449"/>
      <c r="X12" s="1449"/>
      <c r="Y12" s="1449"/>
      <c r="Z12" s="1449"/>
      <c r="AA12" s="1449"/>
      <c r="AB12" s="1449"/>
      <c r="AC12" s="1449"/>
      <c r="AD12" s="1449"/>
      <c r="AE12" s="1449"/>
      <c r="AF12" s="1449"/>
      <c r="AG12" s="1449"/>
      <c r="AH12" s="1449"/>
      <c r="AI12" s="1449"/>
      <c r="AJ12" s="1449"/>
      <c r="AK12" s="1449"/>
      <c r="AL12" s="1449"/>
      <c r="AM12" s="1449"/>
      <c r="AN12" s="1449"/>
      <c r="AO12" s="1449"/>
      <c r="AP12" s="1449"/>
      <c r="AQ12" s="1449"/>
      <c r="AR12" s="1449"/>
      <c r="AS12" s="1449"/>
      <c r="AT12" s="1449"/>
      <c r="AU12" s="1449"/>
    </row>
    <row r="13" spans="1:47" ht="15.75">
      <c r="A13" s="1002" t="s">
        <v>379</v>
      </c>
      <c r="B13" s="1002" t="s">
        <v>380</v>
      </c>
      <c r="C13" s="1002" t="s">
        <v>381</v>
      </c>
      <c r="D13" s="1003">
        <v>4</v>
      </c>
      <c r="E13" s="1003">
        <v>5</v>
      </c>
      <c r="F13" s="1003">
        <v>6</v>
      </c>
      <c r="G13" s="1003">
        <v>7</v>
      </c>
      <c r="H13" s="1003">
        <v>8</v>
      </c>
      <c r="I13" s="1003">
        <v>9</v>
      </c>
      <c r="J13" s="1003">
        <v>10</v>
      </c>
      <c r="K13" s="1003">
        <v>11</v>
      </c>
      <c r="L13" s="1003">
        <v>12</v>
      </c>
      <c r="M13" s="1003">
        <v>13</v>
      </c>
      <c r="N13" s="1003">
        <v>14</v>
      </c>
      <c r="O13" s="1003">
        <v>15</v>
      </c>
      <c r="P13" s="1004">
        <v>16</v>
      </c>
      <c r="Q13" s="1003">
        <v>17</v>
      </c>
      <c r="R13" s="1482">
        <f>+E13+J13</f>
        <v>15</v>
      </c>
      <c r="S13" s="1449"/>
      <c r="T13" s="1450">
        <f>P13-O13</f>
        <v>1</v>
      </c>
      <c r="U13" s="1450"/>
      <c r="V13" s="1450">
        <f>O13-N13</f>
        <v>1</v>
      </c>
      <c r="W13" s="1449"/>
      <c r="X13" s="1449"/>
      <c r="Y13" s="1449"/>
      <c r="Z13" s="1449"/>
      <c r="AA13" s="1449"/>
      <c r="AB13" s="1449"/>
      <c r="AC13" s="1449"/>
      <c r="AD13" s="1449"/>
      <c r="AE13" s="1449"/>
      <c r="AF13" s="1449"/>
      <c r="AG13" s="1449"/>
      <c r="AH13" s="1449"/>
      <c r="AI13" s="1449"/>
      <c r="AJ13" s="1449"/>
      <c r="AK13" s="1449"/>
      <c r="AL13" s="1449"/>
      <c r="AM13" s="1449"/>
      <c r="AN13" s="1449"/>
      <c r="AO13" s="1449"/>
      <c r="AP13" s="1449"/>
      <c r="AQ13" s="1449"/>
      <c r="AR13" s="1449"/>
      <c r="AS13" s="1449"/>
      <c r="AT13" s="1449"/>
      <c r="AU13" s="1449"/>
    </row>
    <row r="14" spans="1:47" s="1010" customFormat="1" ht="15.75">
      <c r="A14" s="1007" t="s">
        <v>84</v>
      </c>
      <c r="B14" s="1007"/>
      <c r="C14" s="1007"/>
      <c r="D14" s="1008" t="s">
        <v>54</v>
      </c>
      <c r="E14" s="1009">
        <f>SUM(E16:E24)</f>
        <v>39991260</v>
      </c>
      <c r="F14" s="1009">
        <f t="shared" ref="F14:Q14" si="0">SUM(F16:F24)</f>
        <v>39991260</v>
      </c>
      <c r="G14" s="1009">
        <f t="shared" si="0"/>
        <v>16066300</v>
      </c>
      <c r="H14" s="1009">
        <f t="shared" si="0"/>
        <v>928900</v>
      </c>
      <c r="I14" s="1009">
        <f t="shared" si="0"/>
        <v>0</v>
      </c>
      <c r="J14" s="1009">
        <f t="shared" si="0"/>
        <v>6495878</v>
      </c>
      <c r="K14" s="1009">
        <f t="shared" si="0"/>
        <v>708778</v>
      </c>
      <c r="L14" s="1009">
        <f t="shared" si="0"/>
        <v>0</v>
      </c>
      <c r="M14" s="1009">
        <f t="shared" si="0"/>
        <v>0</v>
      </c>
      <c r="N14" s="1009">
        <f t="shared" si="0"/>
        <v>5787100</v>
      </c>
      <c r="O14" s="1009">
        <f t="shared" si="0"/>
        <v>5278700</v>
      </c>
      <c r="P14" s="1009">
        <f t="shared" si="0"/>
        <v>5278700</v>
      </c>
      <c r="Q14" s="908">
        <f t="shared" si="0"/>
        <v>46487138</v>
      </c>
      <c r="R14" s="1482">
        <f t="shared" ref="R14:R80" si="1">+E14+J14</f>
        <v>46487138</v>
      </c>
      <c r="S14" s="1451">
        <f>R14-Q14</f>
        <v>0</v>
      </c>
      <c r="T14" s="1450">
        <f t="shared" ref="T14:T77" si="2">P14-O14</f>
        <v>0</v>
      </c>
      <c r="U14" s="1450"/>
      <c r="V14" s="1450">
        <f>O14-N14</f>
        <v>-508400</v>
      </c>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row>
    <row r="15" spans="1:47" s="1010" customFormat="1" ht="15.75">
      <c r="A15" s="1007" t="s">
        <v>85</v>
      </c>
      <c r="B15" s="1007"/>
      <c r="C15" s="1007"/>
      <c r="D15" s="1008" t="s">
        <v>54</v>
      </c>
      <c r="E15" s="1009">
        <f t="shared" ref="E15:Q15" si="3">E16+E18+E22+E23+E17+E24+E20+E19+E21</f>
        <v>39991260</v>
      </c>
      <c r="F15" s="1009">
        <f t="shared" si="3"/>
        <v>39991260</v>
      </c>
      <c r="G15" s="1009">
        <f t="shared" si="3"/>
        <v>16066300</v>
      </c>
      <c r="H15" s="1009">
        <f t="shared" si="3"/>
        <v>928900</v>
      </c>
      <c r="I15" s="1009">
        <f t="shared" si="3"/>
        <v>0</v>
      </c>
      <c r="J15" s="1009">
        <f t="shared" si="3"/>
        <v>6495878</v>
      </c>
      <c r="K15" s="1009">
        <f t="shared" si="3"/>
        <v>708778</v>
      </c>
      <c r="L15" s="1009">
        <f t="shared" si="3"/>
        <v>0</v>
      </c>
      <c r="M15" s="1009">
        <f t="shared" si="3"/>
        <v>0</v>
      </c>
      <c r="N15" s="1009">
        <f t="shared" si="3"/>
        <v>5787100</v>
      </c>
      <c r="O15" s="1009">
        <f t="shared" si="3"/>
        <v>5278700</v>
      </c>
      <c r="P15" s="1009">
        <f t="shared" si="3"/>
        <v>5278700</v>
      </c>
      <c r="Q15" s="908">
        <f t="shared" si="3"/>
        <v>46487138</v>
      </c>
      <c r="R15" s="1482">
        <f t="shared" si="1"/>
        <v>46487138</v>
      </c>
      <c r="S15" s="1451">
        <f t="shared" ref="S15:S75" si="4">R15-Q15</f>
        <v>0</v>
      </c>
      <c r="T15" s="1450">
        <f t="shared" si="2"/>
        <v>0</v>
      </c>
      <c r="U15" s="1450"/>
      <c r="V15" s="1450">
        <f t="shared" ref="V15:V73" si="5">O15-N15</f>
        <v>-508400</v>
      </c>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row>
    <row r="16" spans="1:47" s="1014" customFormat="1" ht="87.6" customHeight="1">
      <c r="A16" s="1011" t="s">
        <v>385</v>
      </c>
      <c r="B16" s="1011" t="s">
        <v>386</v>
      </c>
      <c r="C16" s="1011" t="s">
        <v>4</v>
      </c>
      <c r="D16" s="1012" t="s">
        <v>214</v>
      </c>
      <c r="E16" s="1013">
        <f>F16+I16</f>
        <v>24413100</v>
      </c>
      <c r="F16" s="1013">
        <f>24279100+134000</f>
        <v>24413100</v>
      </c>
      <c r="G16" s="1013">
        <v>16066300</v>
      </c>
      <c r="H16" s="1013">
        <v>928900</v>
      </c>
      <c r="I16" s="1013"/>
      <c r="J16" s="1013">
        <f t="shared" ref="J16:J24" si="6">+K16+N16</f>
        <v>173100</v>
      </c>
      <c r="K16" s="1013"/>
      <c r="L16" s="1013"/>
      <c r="M16" s="1013"/>
      <c r="N16" s="1013">
        <f>592500-419400</f>
        <v>173100</v>
      </c>
      <c r="O16" s="1013">
        <f>592500-419400</f>
        <v>173100</v>
      </c>
      <c r="P16" s="1013">
        <f>592500-419400</f>
        <v>173100</v>
      </c>
      <c r="Q16" s="1013">
        <f t="shared" ref="Q16:Q23" si="7">+J16+E16</f>
        <v>24586200</v>
      </c>
      <c r="R16" s="1482">
        <f t="shared" si="1"/>
        <v>24586200</v>
      </c>
      <c r="S16" s="1451">
        <f t="shared" si="4"/>
        <v>0</v>
      </c>
      <c r="T16" s="1450">
        <f t="shared" si="2"/>
        <v>0</v>
      </c>
      <c r="U16" s="1450"/>
      <c r="V16" s="1450">
        <f t="shared" si="5"/>
        <v>0</v>
      </c>
      <c r="W16" s="1453"/>
      <c r="X16" s="1453"/>
      <c r="Y16" s="1453"/>
      <c r="Z16" s="1453"/>
      <c r="AA16" s="1453"/>
      <c r="AB16" s="1453"/>
      <c r="AC16" s="1453"/>
      <c r="AD16" s="1453"/>
      <c r="AE16" s="1453"/>
      <c r="AF16" s="1453"/>
      <c r="AG16" s="1453"/>
      <c r="AH16" s="1453"/>
      <c r="AI16" s="1453"/>
      <c r="AJ16" s="1453"/>
      <c r="AK16" s="1453"/>
      <c r="AL16" s="1453"/>
      <c r="AM16" s="1453"/>
      <c r="AN16" s="1453"/>
      <c r="AO16" s="1453"/>
      <c r="AP16" s="1453"/>
      <c r="AQ16" s="1453"/>
      <c r="AR16" s="1453"/>
      <c r="AS16" s="1453"/>
      <c r="AT16" s="1453"/>
      <c r="AU16" s="1453"/>
    </row>
    <row r="17" spans="1:47" s="1014" customFormat="1" ht="31.5">
      <c r="A17" s="1015" t="s">
        <v>398</v>
      </c>
      <c r="B17" s="1015" t="s">
        <v>7</v>
      </c>
      <c r="C17" s="1015" t="s">
        <v>10</v>
      </c>
      <c r="D17" s="1016" t="s">
        <v>399</v>
      </c>
      <c r="E17" s="1013">
        <f>F17+I17</f>
        <v>10000</v>
      </c>
      <c r="F17" s="1013">
        <v>10000</v>
      </c>
      <c r="G17" s="1013"/>
      <c r="H17" s="1013"/>
      <c r="I17" s="1013"/>
      <c r="J17" s="1013">
        <f>+K17+N17</f>
        <v>0</v>
      </c>
      <c r="K17" s="1013"/>
      <c r="L17" s="1013"/>
      <c r="M17" s="1013"/>
      <c r="N17" s="1013"/>
      <c r="O17" s="1013"/>
      <c r="P17" s="1013"/>
      <c r="Q17" s="1013">
        <f t="shared" si="7"/>
        <v>10000</v>
      </c>
      <c r="R17" s="1482">
        <f t="shared" si="1"/>
        <v>10000</v>
      </c>
      <c r="S17" s="1451">
        <f t="shared" si="4"/>
        <v>0</v>
      </c>
      <c r="T17" s="1450">
        <f t="shared" si="2"/>
        <v>0</v>
      </c>
      <c r="U17" s="1450"/>
      <c r="V17" s="1450">
        <f t="shared" si="5"/>
        <v>0</v>
      </c>
      <c r="W17" s="1453"/>
      <c r="X17" s="1453"/>
      <c r="Y17" s="1453"/>
      <c r="Z17" s="1453"/>
      <c r="AA17" s="1453"/>
      <c r="AB17" s="1453"/>
      <c r="AC17" s="1453"/>
      <c r="AD17" s="1453"/>
      <c r="AE17" s="1453"/>
      <c r="AF17" s="1453"/>
      <c r="AG17" s="1453"/>
      <c r="AH17" s="1453"/>
      <c r="AI17" s="1453"/>
      <c r="AJ17" s="1453"/>
      <c r="AK17" s="1453"/>
      <c r="AL17" s="1453"/>
      <c r="AM17" s="1453"/>
      <c r="AN17" s="1453"/>
      <c r="AO17" s="1453"/>
      <c r="AP17" s="1453"/>
      <c r="AQ17" s="1453"/>
      <c r="AR17" s="1453"/>
      <c r="AS17" s="1453"/>
      <c r="AT17" s="1453"/>
      <c r="AU17" s="1453"/>
    </row>
    <row r="18" spans="1:47" s="1021" customFormat="1" ht="31.5">
      <c r="A18" s="1017" t="s">
        <v>388</v>
      </c>
      <c r="B18" s="1017">
        <v>3242</v>
      </c>
      <c r="C18" s="1017">
        <v>1090</v>
      </c>
      <c r="D18" s="1018" t="s">
        <v>387</v>
      </c>
      <c r="E18" s="1019">
        <f t="shared" ref="E18:E29" si="8">F18+I18</f>
        <v>8920000</v>
      </c>
      <c r="F18" s="1020">
        <f>7230000+1690000</f>
        <v>8920000</v>
      </c>
      <c r="G18" s="1020"/>
      <c r="H18" s="1020"/>
      <c r="I18" s="1020"/>
      <c r="J18" s="1020">
        <f t="shared" si="6"/>
        <v>0</v>
      </c>
      <c r="K18" s="1020"/>
      <c r="L18" s="1020"/>
      <c r="M18" s="1020"/>
      <c r="N18" s="1020"/>
      <c r="O18" s="1020"/>
      <c r="P18" s="1020"/>
      <c r="Q18" s="1020">
        <f t="shared" si="7"/>
        <v>8920000</v>
      </c>
      <c r="R18" s="1482">
        <f t="shared" si="1"/>
        <v>8920000</v>
      </c>
      <c r="S18" s="1451">
        <f t="shared" si="4"/>
        <v>0</v>
      </c>
      <c r="T18" s="1450">
        <f t="shared" si="2"/>
        <v>0</v>
      </c>
      <c r="U18" s="1450"/>
      <c r="V18" s="1450">
        <f t="shared" si="5"/>
        <v>0</v>
      </c>
      <c r="W18" s="1454"/>
      <c r="X18" s="1454"/>
      <c r="Y18" s="1454"/>
      <c r="Z18" s="1454"/>
      <c r="AA18" s="1454"/>
      <c r="AB18" s="1454"/>
      <c r="AC18" s="1454"/>
      <c r="AD18" s="1454"/>
      <c r="AE18" s="1454"/>
      <c r="AF18" s="1454"/>
      <c r="AG18" s="1454"/>
      <c r="AH18" s="1454"/>
      <c r="AI18" s="1454"/>
      <c r="AJ18" s="1454"/>
      <c r="AK18" s="1454"/>
      <c r="AL18" s="1454"/>
      <c r="AM18" s="1454"/>
      <c r="AN18" s="1454"/>
      <c r="AO18" s="1454"/>
      <c r="AP18" s="1454"/>
      <c r="AQ18" s="1454"/>
      <c r="AR18" s="1454"/>
      <c r="AS18" s="1454"/>
      <c r="AT18" s="1454"/>
      <c r="AU18" s="1454"/>
    </row>
    <row r="19" spans="1:47" s="537" customFormat="1" ht="78" hidden="1" customHeight="1">
      <c r="A19" s="42" t="s">
        <v>724</v>
      </c>
      <c r="B19" s="42" t="s">
        <v>725</v>
      </c>
      <c r="C19" s="42" t="s">
        <v>726</v>
      </c>
      <c r="D19" s="41" t="s">
        <v>727</v>
      </c>
      <c r="E19" s="440">
        <f t="shared" si="8"/>
        <v>0</v>
      </c>
      <c r="F19" s="316"/>
      <c r="G19" s="316"/>
      <c r="H19" s="316"/>
      <c r="I19" s="316"/>
      <c r="J19" s="316">
        <f t="shared" si="6"/>
        <v>0</v>
      </c>
      <c r="K19" s="316"/>
      <c r="L19" s="316"/>
      <c r="M19" s="316"/>
      <c r="N19" s="316"/>
      <c r="O19" s="316"/>
      <c r="P19" s="316"/>
      <c r="Q19" s="316">
        <f t="shared" si="7"/>
        <v>0</v>
      </c>
      <c r="R19" s="1005">
        <f t="shared" si="1"/>
        <v>0</v>
      </c>
      <c r="S19" s="535">
        <f t="shared" si="4"/>
        <v>0</v>
      </c>
      <c r="T19" s="1006">
        <f t="shared" si="2"/>
        <v>0</v>
      </c>
      <c r="U19" s="536"/>
      <c r="V19" s="536">
        <f t="shared" si="5"/>
        <v>0</v>
      </c>
    </row>
    <row r="20" spans="1:47" s="538" customFormat="1" ht="31.15" hidden="1" customHeight="1">
      <c r="A20" s="42" t="s">
        <v>390</v>
      </c>
      <c r="B20" s="42" t="s">
        <v>389</v>
      </c>
      <c r="C20" s="42" t="s">
        <v>278</v>
      </c>
      <c r="D20" s="41" t="s">
        <v>391</v>
      </c>
      <c r="E20" s="440">
        <f t="shared" si="8"/>
        <v>0</v>
      </c>
      <c r="F20" s="316"/>
      <c r="G20" s="316"/>
      <c r="H20" s="316"/>
      <c r="I20" s="316"/>
      <c r="J20" s="316">
        <f t="shared" si="6"/>
        <v>0</v>
      </c>
      <c r="K20" s="316"/>
      <c r="L20" s="316"/>
      <c r="M20" s="316"/>
      <c r="N20" s="316"/>
      <c r="O20" s="316"/>
      <c r="P20" s="316"/>
      <c r="Q20" s="316">
        <f t="shared" si="7"/>
        <v>0</v>
      </c>
      <c r="R20" s="1481">
        <f t="shared" si="1"/>
        <v>0</v>
      </c>
      <c r="S20" s="535">
        <f t="shared" si="4"/>
        <v>0</v>
      </c>
      <c r="T20" s="1006">
        <f t="shared" si="2"/>
        <v>0</v>
      </c>
      <c r="U20" s="536"/>
      <c r="V20" s="536">
        <f t="shared" si="5"/>
        <v>0</v>
      </c>
    </row>
    <row r="21" spans="1:47" s="294" customFormat="1" ht="31.15" customHeight="1">
      <c r="A21" s="293" t="s">
        <v>938</v>
      </c>
      <c r="B21" s="293" t="s">
        <v>589</v>
      </c>
      <c r="C21" s="293" t="s">
        <v>278</v>
      </c>
      <c r="D21" s="45" t="s">
        <v>149</v>
      </c>
      <c r="E21" s="440">
        <f t="shared" si="8"/>
        <v>567500</v>
      </c>
      <c r="F21" s="47">
        <v>567500</v>
      </c>
      <c r="G21" s="47"/>
      <c r="H21" s="47"/>
      <c r="I21" s="47"/>
      <c r="J21" s="316">
        <f t="shared" si="6"/>
        <v>26000</v>
      </c>
      <c r="K21" s="47"/>
      <c r="L21" s="47"/>
      <c r="M21" s="47"/>
      <c r="N21" s="47">
        <v>26000</v>
      </c>
      <c r="O21" s="47">
        <v>26000</v>
      </c>
      <c r="P21" s="47">
        <v>26000</v>
      </c>
      <c r="Q21" s="316">
        <f t="shared" si="7"/>
        <v>593500</v>
      </c>
      <c r="R21" s="1482">
        <f t="shared" si="1"/>
        <v>593500</v>
      </c>
      <c r="S21" s="1455"/>
      <c r="T21" s="1450">
        <f t="shared" si="2"/>
        <v>0</v>
      </c>
      <c r="U21" s="1450"/>
      <c r="V21" s="1450">
        <f t="shared" si="5"/>
        <v>0</v>
      </c>
      <c r="W21" s="1456"/>
      <c r="X21" s="1456"/>
      <c r="Y21" s="1456"/>
      <c r="Z21" s="1456"/>
      <c r="AA21" s="1456"/>
      <c r="AB21" s="1456"/>
      <c r="AC21" s="1456"/>
      <c r="AD21" s="1456"/>
      <c r="AE21" s="1456"/>
      <c r="AF21" s="1456"/>
      <c r="AG21" s="1456"/>
      <c r="AH21" s="1456"/>
      <c r="AI21" s="1456"/>
      <c r="AJ21" s="1456"/>
      <c r="AK21" s="1456"/>
      <c r="AL21" s="1456"/>
      <c r="AM21" s="1456"/>
      <c r="AN21" s="1456"/>
      <c r="AO21" s="1456"/>
      <c r="AP21" s="1456"/>
      <c r="AQ21" s="1456"/>
      <c r="AR21" s="1456"/>
      <c r="AS21" s="1456"/>
      <c r="AT21" s="1456"/>
      <c r="AU21" s="1456"/>
    </row>
    <row r="22" spans="1:47" s="294" customFormat="1" ht="31.15" hidden="1" customHeight="1">
      <c r="A22" s="293" t="s">
        <v>392</v>
      </c>
      <c r="B22" s="293" t="s">
        <v>393</v>
      </c>
      <c r="C22" s="293" t="s">
        <v>6</v>
      </c>
      <c r="D22" s="45" t="s">
        <v>90</v>
      </c>
      <c r="E22" s="47">
        <f t="shared" si="8"/>
        <v>0</v>
      </c>
      <c r="F22" s="47"/>
      <c r="G22" s="47"/>
      <c r="H22" s="47"/>
      <c r="I22" s="47"/>
      <c r="J22" s="47">
        <f t="shared" si="6"/>
        <v>0</v>
      </c>
      <c r="K22" s="47"/>
      <c r="L22" s="47"/>
      <c r="M22" s="47"/>
      <c r="N22" s="47"/>
      <c r="O22" s="47"/>
      <c r="P22" s="47"/>
      <c r="Q22" s="47">
        <f t="shared" si="7"/>
        <v>0</v>
      </c>
      <c r="R22" s="1481">
        <f t="shared" si="1"/>
        <v>0</v>
      </c>
      <c r="S22" s="284">
        <f t="shared" si="4"/>
        <v>0</v>
      </c>
      <c r="T22" s="1006">
        <f t="shared" si="2"/>
        <v>0</v>
      </c>
      <c r="U22" s="536"/>
      <c r="V22" s="536">
        <f t="shared" si="5"/>
        <v>0</v>
      </c>
    </row>
    <row r="23" spans="1:47" s="1014" customFormat="1" ht="15.75">
      <c r="A23" s="1015" t="s">
        <v>400</v>
      </c>
      <c r="B23" s="1015" t="s">
        <v>401</v>
      </c>
      <c r="C23" s="1015" t="s">
        <v>7</v>
      </c>
      <c r="D23" s="1022" t="s">
        <v>402</v>
      </c>
      <c r="E23" s="1013">
        <f>F23+I23</f>
        <v>5704348</v>
      </c>
      <c r="F23" s="1013">
        <f>5412448+291900</f>
        <v>5704348</v>
      </c>
      <c r="G23" s="1013"/>
      <c r="H23" s="1013"/>
      <c r="I23" s="1013"/>
      <c r="J23" s="1013">
        <f>+K23+N23</f>
        <v>6264780</v>
      </c>
      <c r="K23" s="1013">
        <f>300000+408778</f>
        <v>708778</v>
      </c>
      <c r="L23" s="1013"/>
      <c r="M23" s="1013"/>
      <c r="N23" s="1013">
        <f>508400+950000-300000+4510490-200000+87112</f>
        <v>5556002</v>
      </c>
      <c r="O23" s="1013">
        <f>950000-300000+4510490-200000+87112</f>
        <v>5047602</v>
      </c>
      <c r="P23" s="1013">
        <f>950000-300000+4510490-200000+87112</f>
        <v>5047602</v>
      </c>
      <c r="Q23" s="1013">
        <f t="shared" si="7"/>
        <v>11969128</v>
      </c>
      <c r="R23" s="1482">
        <f t="shared" si="1"/>
        <v>11969128</v>
      </c>
      <c r="S23" s="1451">
        <f t="shared" si="4"/>
        <v>0</v>
      </c>
      <c r="T23" s="1450">
        <f t="shared" si="2"/>
        <v>0</v>
      </c>
      <c r="U23" s="1450"/>
      <c r="V23" s="1450">
        <f t="shared" si="5"/>
        <v>-508400</v>
      </c>
      <c r="W23" s="1453"/>
      <c r="X23" s="1453"/>
      <c r="Y23" s="1453"/>
      <c r="Z23" s="1453"/>
      <c r="AA23" s="1453"/>
      <c r="AB23" s="1453"/>
      <c r="AC23" s="1453"/>
      <c r="AD23" s="1453"/>
      <c r="AE23" s="1453"/>
      <c r="AF23" s="1453"/>
      <c r="AG23" s="1453"/>
      <c r="AH23" s="1453"/>
      <c r="AI23" s="1453"/>
      <c r="AJ23" s="1453"/>
      <c r="AK23" s="1453"/>
      <c r="AL23" s="1453"/>
      <c r="AM23" s="1453"/>
      <c r="AN23" s="1453"/>
      <c r="AO23" s="1453"/>
      <c r="AP23" s="1453"/>
      <c r="AQ23" s="1453"/>
      <c r="AR23" s="1453"/>
      <c r="AS23" s="1453"/>
      <c r="AT23" s="1453"/>
      <c r="AU23" s="1453"/>
    </row>
    <row r="24" spans="1:47" s="537" customFormat="1" ht="55.15" customHeight="1">
      <c r="A24" s="42" t="s">
        <v>395</v>
      </c>
      <c r="B24" s="42" t="s">
        <v>396</v>
      </c>
      <c r="C24" s="42" t="s">
        <v>7</v>
      </c>
      <c r="D24" s="33" t="s">
        <v>397</v>
      </c>
      <c r="E24" s="47">
        <f t="shared" si="8"/>
        <v>376312</v>
      </c>
      <c r="F24" s="47">
        <v>376312</v>
      </c>
      <c r="G24" s="46"/>
      <c r="H24" s="46"/>
      <c r="I24" s="46"/>
      <c r="J24" s="47">
        <f t="shared" si="6"/>
        <v>31998</v>
      </c>
      <c r="K24" s="46"/>
      <c r="L24" s="46"/>
      <c r="M24" s="46"/>
      <c r="N24" s="46">
        <v>31998</v>
      </c>
      <c r="O24" s="46">
        <v>31998</v>
      </c>
      <c r="P24" s="46">
        <v>31998</v>
      </c>
      <c r="Q24" s="47">
        <f>+J24+F24</f>
        <v>408310</v>
      </c>
      <c r="R24" s="1482">
        <f t="shared" si="1"/>
        <v>408310</v>
      </c>
      <c r="S24" s="1451">
        <f t="shared" si="4"/>
        <v>0</v>
      </c>
      <c r="T24" s="1450">
        <f t="shared" si="2"/>
        <v>0</v>
      </c>
      <c r="U24" s="1450"/>
      <c r="V24" s="1450">
        <f t="shared" si="5"/>
        <v>0</v>
      </c>
      <c r="W24" s="1453"/>
      <c r="X24" s="1453"/>
      <c r="Y24" s="1453"/>
      <c r="Z24" s="1453"/>
      <c r="AA24" s="1453"/>
      <c r="AB24" s="1453"/>
      <c r="AC24" s="1453"/>
      <c r="AD24" s="1453"/>
      <c r="AE24" s="1453"/>
      <c r="AF24" s="1453"/>
      <c r="AG24" s="1453"/>
      <c r="AH24" s="1453"/>
      <c r="AI24" s="1453"/>
      <c r="AJ24" s="1453"/>
      <c r="AK24" s="1453"/>
      <c r="AL24" s="1453"/>
      <c r="AM24" s="1453"/>
      <c r="AN24" s="1453"/>
      <c r="AO24" s="1453"/>
      <c r="AP24" s="1453"/>
      <c r="AQ24" s="1453"/>
      <c r="AR24" s="1453"/>
      <c r="AS24" s="1453"/>
      <c r="AT24" s="1453"/>
      <c r="AU24" s="1453"/>
    </row>
    <row r="25" spans="1:47" s="1025" customFormat="1" ht="31.5">
      <c r="A25" s="1023" t="s">
        <v>404</v>
      </c>
      <c r="B25" s="1023"/>
      <c r="C25" s="1023"/>
      <c r="D25" s="1024" t="s">
        <v>55</v>
      </c>
      <c r="E25" s="908">
        <f>SUM(E27:E29)</f>
        <v>3653163</v>
      </c>
      <c r="F25" s="908">
        <f t="shared" ref="F25:Q25" si="9">SUM(F27:F29)</f>
        <v>3653163</v>
      </c>
      <c r="G25" s="908">
        <f t="shared" si="9"/>
        <v>938200</v>
      </c>
      <c r="H25" s="908">
        <f t="shared" si="9"/>
        <v>176900</v>
      </c>
      <c r="I25" s="908">
        <f t="shared" si="9"/>
        <v>0</v>
      </c>
      <c r="J25" s="908">
        <f t="shared" si="9"/>
        <v>794237</v>
      </c>
      <c r="K25" s="908">
        <f t="shared" si="9"/>
        <v>54800</v>
      </c>
      <c r="L25" s="908">
        <f t="shared" si="9"/>
        <v>35100</v>
      </c>
      <c r="M25" s="908">
        <f t="shared" si="9"/>
        <v>0</v>
      </c>
      <c r="N25" s="908">
        <f t="shared" si="9"/>
        <v>739437</v>
      </c>
      <c r="O25" s="908">
        <f t="shared" si="9"/>
        <v>739437</v>
      </c>
      <c r="P25" s="908">
        <f t="shared" si="9"/>
        <v>739437</v>
      </c>
      <c r="Q25" s="908">
        <f t="shared" si="9"/>
        <v>4447400</v>
      </c>
      <c r="R25" s="1482">
        <f t="shared" si="1"/>
        <v>4447400</v>
      </c>
      <c r="S25" s="1451">
        <f t="shared" si="4"/>
        <v>0</v>
      </c>
      <c r="T25" s="1450">
        <f t="shared" si="2"/>
        <v>0</v>
      </c>
      <c r="U25" s="1450"/>
      <c r="V25" s="1450">
        <f t="shared" si="5"/>
        <v>0</v>
      </c>
      <c r="W25" s="1457"/>
      <c r="X25" s="1457"/>
      <c r="Y25" s="1457"/>
      <c r="Z25" s="1457"/>
      <c r="AA25" s="1457"/>
      <c r="AB25" s="1457"/>
      <c r="AC25" s="1457"/>
      <c r="AD25" s="1457"/>
      <c r="AE25" s="1457"/>
      <c r="AF25" s="1457"/>
      <c r="AG25" s="1457"/>
      <c r="AH25" s="1457"/>
      <c r="AI25" s="1457"/>
      <c r="AJ25" s="1457"/>
      <c r="AK25" s="1457"/>
      <c r="AL25" s="1457"/>
      <c r="AM25" s="1457"/>
      <c r="AN25" s="1457"/>
      <c r="AO25" s="1457"/>
      <c r="AP25" s="1457"/>
      <c r="AQ25" s="1457"/>
      <c r="AR25" s="1457"/>
      <c r="AS25" s="1457"/>
      <c r="AT25" s="1457"/>
      <c r="AU25" s="1457"/>
    </row>
    <row r="26" spans="1:47" s="1025" customFormat="1" ht="31.5">
      <c r="A26" s="1023" t="s">
        <v>405</v>
      </c>
      <c r="B26" s="1023"/>
      <c r="C26" s="1023"/>
      <c r="D26" s="1024" t="s">
        <v>55</v>
      </c>
      <c r="E26" s="908">
        <f>E27+E28+E29</f>
        <v>3653163</v>
      </c>
      <c r="F26" s="908">
        <f t="shared" ref="F26:Q26" si="10">F27+F28+F29</f>
        <v>3653163</v>
      </c>
      <c r="G26" s="908">
        <f t="shared" si="10"/>
        <v>938200</v>
      </c>
      <c r="H26" s="908">
        <f t="shared" si="10"/>
        <v>176900</v>
      </c>
      <c r="I26" s="908">
        <f t="shared" si="10"/>
        <v>0</v>
      </c>
      <c r="J26" s="908">
        <f t="shared" si="10"/>
        <v>794237</v>
      </c>
      <c r="K26" s="908">
        <f t="shared" si="10"/>
        <v>54800</v>
      </c>
      <c r="L26" s="908">
        <f t="shared" si="10"/>
        <v>35100</v>
      </c>
      <c r="M26" s="908">
        <f t="shared" si="10"/>
        <v>0</v>
      </c>
      <c r="N26" s="908">
        <f t="shared" si="10"/>
        <v>739437</v>
      </c>
      <c r="O26" s="908">
        <f t="shared" si="10"/>
        <v>739437</v>
      </c>
      <c r="P26" s="908">
        <f t="shared" si="10"/>
        <v>739437</v>
      </c>
      <c r="Q26" s="908">
        <f t="shared" si="10"/>
        <v>4447400</v>
      </c>
      <c r="R26" s="1482">
        <f t="shared" si="1"/>
        <v>4447400</v>
      </c>
      <c r="S26" s="1451">
        <f t="shared" si="4"/>
        <v>0</v>
      </c>
      <c r="T26" s="1450">
        <f t="shared" si="2"/>
        <v>0</v>
      </c>
      <c r="U26" s="1450"/>
      <c r="V26" s="1450">
        <f t="shared" si="5"/>
        <v>0</v>
      </c>
      <c r="W26" s="1457"/>
      <c r="X26" s="1457"/>
      <c r="Y26" s="1457"/>
      <c r="Z26" s="1457"/>
      <c r="AA26" s="1457"/>
      <c r="AB26" s="1457"/>
      <c r="AC26" s="1457"/>
      <c r="AD26" s="1457"/>
      <c r="AE26" s="1457"/>
      <c r="AF26" s="1457"/>
      <c r="AG26" s="1457"/>
      <c r="AH26" s="1457"/>
      <c r="AI26" s="1457"/>
      <c r="AJ26" s="1457"/>
      <c r="AK26" s="1457"/>
      <c r="AL26" s="1457"/>
      <c r="AM26" s="1457"/>
      <c r="AN26" s="1457"/>
      <c r="AO26" s="1457"/>
      <c r="AP26" s="1457"/>
      <c r="AQ26" s="1457"/>
      <c r="AR26" s="1457"/>
      <c r="AS26" s="1457"/>
      <c r="AT26" s="1457"/>
      <c r="AU26" s="1457"/>
    </row>
    <row r="27" spans="1:47" s="1014" customFormat="1" ht="31.5">
      <c r="A27" s="1015" t="s">
        <v>406</v>
      </c>
      <c r="B27" s="1015" t="s">
        <v>8</v>
      </c>
      <c r="C27" s="1015" t="s">
        <v>9</v>
      </c>
      <c r="D27" s="1022" t="s">
        <v>403</v>
      </c>
      <c r="E27" s="1013">
        <f t="shared" si="8"/>
        <v>1691400</v>
      </c>
      <c r="F27" s="1013">
        <v>1691400</v>
      </c>
      <c r="G27" s="1013">
        <v>938200</v>
      </c>
      <c r="H27" s="1013">
        <v>176900</v>
      </c>
      <c r="I27" s="1013"/>
      <c r="J27" s="1013">
        <f>+K27+N27</f>
        <v>54800</v>
      </c>
      <c r="K27" s="1013">
        <v>54800</v>
      </c>
      <c r="L27" s="1013">
        <v>35100</v>
      </c>
      <c r="M27" s="1013"/>
      <c r="N27" s="1013"/>
      <c r="O27" s="1013"/>
      <c r="P27" s="1013"/>
      <c r="Q27" s="1013">
        <f>+J27+E27</f>
        <v>1746200</v>
      </c>
      <c r="R27" s="1482">
        <f t="shared" si="1"/>
        <v>1746200</v>
      </c>
      <c r="S27" s="1451">
        <f t="shared" si="4"/>
        <v>0</v>
      </c>
      <c r="T27" s="1450">
        <f t="shared" si="2"/>
        <v>0</v>
      </c>
      <c r="U27" s="1450"/>
      <c r="V27" s="1450">
        <f t="shared" si="5"/>
        <v>0</v>
      </c>
      <c r="W27" s="1453"/>
      <c r="X27" s="1453"/>
      <c r="Y27" s="1453"/>
      <c r="Z27" s="1453"/>
      <c r="AA27" s="1453"/>
      <c r="AB27" s="1453"/>
      <c r="AC27" s="1453"/>
      <c r="AD27" s="1453"/>
      <c r="AE27" s="1453"/>
      <c r="AF27" s="1453"/>
      <c r="AG27" s="1453"/>
      <c r="AH27" s="1453"/>
      <c r="AI27" s="1453"/>
      <c r="AJ27" s="1453"/>
      <c r="AK27" s="1453"/>
      <c r="AL27" s="1453"/>
      <c r="AM27" s="1453"/>
      <c r="AN27" s="1453"/>
      <c r="AO27" s="1453"/>
      <c r="AP27" s="1453"/>
      <c r="AQ27" s="1453"/>
      <c r="AR27" s="1453"/>
      <c r="AS27" s="1453"/>
      <c r="AT27" s="1453"/>
      <c r="AU27" s="1453"/>
    </row>
    <row r="28" spans="1:47" s="1014" customFormat="1" ht="31.5">
      <c r="A28" s="1015" t="s">
        <v>407</v>
      </c>
      <c r="B28" s="1015" t="s">
        <v>7</v>
      </c>
      <c r="C28" s="1015" t="s">
        <v>10</v>
      </c>
      <c r="D28" s="1016" t="s">
        <v>399</v>
      </c>
      <c r="E28" s="1013">
        <f>F28+I28</f>
        <v>1188000</v>
      </c>
      <c r="F28" s="1013">
        <v>1188000</v>
      </c>
      <c r="G28" s="1013"/>
      <c r="H28" s="1013"/>
      <c r="I28" s="1013"/>
      <c r="J28" s="1013">
        <f>+K28+N28</f>
        <v>311000</v>
      </c>
      <c r="K28" s="1013"/>
      <c r="L28" s="1013"/>
      <c r="M28" s="1013"/>
      <c r="N28" s="1013">
        <v>311000</v>
      </c>
      <c r="O28" s="1013">
        <v>311000</v>
      </c>
      <c r="P28" s="1013">
        <v>311000</v>
      </c>
      <c r="Q28" s="1013">
        <f>+J28+E28</f>
        <v>1499000</v>
      </c>
      <c r="R28" s="1482">
        <f t="shared" si="1"/>
        <v>1499000</v>
      </c>
      <c r="S28" s="1451">
        <f t="shared" si="4"/>
        <v>0</v>
      </c>
      <c r="T28" s="1450">
        <f t="shared" si="2"/>
        <v>0</v>
      </c>
      <c r="U28" s="1450"/>
      <c r="V28" s="1450">
        <f t="shared" si="5"/>
        <v>0</v>
      </c>
      <c r="W28" s="1453"/>
      <c r="X28" s="1453"/>
      <c r="Y28" s="1453"/>
      <c r="Z28" s="1453"/>
      <c r="AA28" s="1453"/>
      <c r="AB28" s="1453"/>
      <c r="AC28" s="1453"/>
      <c r="AD28" s="1453"/>
      <c r="AE28" s="1453"/>
      <c r="AF28" s="1453"/>
      <c r="AG28" s="1453"/>
      <c r="AH28" s="1453"/>
      <c r="AI28" s="1453"/>
      <c r="AJ28" s="1453"/>
      <c r="AK28" s="1453"/>
      <c r="AL28" s="1453"/>
      <c r="AM28" s="1453"/>
      <c r="AN28" s="1453"/>
      <c r="AO28" s="1453"/>
      <c r="AP28" s="1453"/>
      <c r="AQ28" s="1453"/>
      <c r="AR28" s="1453"/>
      <c r="AS28" s="1453"/>
      <c r="AT28" s="1453"/>
      <c r="AU28" s="1453"/>
    </row>
    <row r="29" spans="1:47" s="537" customFormat="1" ht="56.45" customHeight="1">
      <c r="A29" s="42" t="s">
        <v>408</v>
      </c>
      <c r="B29" s="42" t="s">
        <v>396</v>
      </c>
      <c r="C29" s="42" t="s">
        <v>7</v>
      </c>
      <c r="D29" s="33" t="s">
        <v>397</v>
      </c>
      <c r="E29" s="46">
        <f t="shared" si="8"/>
        <v>773763</v>
      </c>
      <c r="F29" s="46">
        <v>773763</v>
      </c>
      <c r="G29" s="46"/>
      <c r="H29" s="46"/>
      <c r="I29" s="46"/>
      <c r="J29" s="46">
        <f>+K29+N29</f>
        <v>428437</v>
      </c>
      <c r="K29" s="46"/>
      <c r="L29" s="46"/>
      <c r="M29" s="46"/>
      <c r="N29" s="46">
        <v>428437</v>
      </c>
      <c r="O29" s="46">
        <v>428437</v>
      </c>
      <c r="P29" s="46">
        <v>428437</v>
      </c>
      <c r="Q29" s="46">
        <f>+J29+E29</f>
        <v>1202200</v>
      </c>
      <c r="R29" s="1482">
        <f t="shared" si="1"/>
        <v>1202200</v>
      </c>
      <c r="S29" s="1451">
        <f t="shared" si="4"/>
        <v>0</v>
      </c>
      <c r="T29" s="1450">
        <f t="shared" si="2"/>
        <v>0</v>
      </c>
      <c r="U29" s="1450"/>
      <c r="V29" s="1450">
        <f t="shared" si="5"/>
        <v>0</v>
      </c>
      <c r="W29" s="1453"/>
      <c r="X29" s="1453"/>
      <c r="Y29" s="1453"/>
      <c r="Z29" s="1453"/>
      <c r="AA29" s="1453"/>
      <c r="AB29" s="1453"/>
      <c r="AC29" s="1453"/>
      <c r="AD29" s="1453"/>
      <c r="AE29" s="1453"/>
      <c r="AF29" s="1453"/>
      <c r="AG29" s="1453"/>
      <c r="AH29" s="1453"/>
      <c r="AI29" s="1453"/>
      <c r="AJ29" s="1453"/>
      <c r="AK29" s="1453"/>
      <c r="AL29" s="1453"/>
      <c r="AM29" s="1453"/>
      <c r="AN29" s="1453"/>
      <c r="AO29" s="1453"/>
      <c r="AP29" s="1453"/>
      <c r="AQ29" s="1453"/>
      <c r="AR29" s="1453"/>
      <c r="AS29" s="1453"/>
      <c r="AT29" s="1453"/>
      <c r="AU29" s="1453"/>
    </row>
    <row r="30" spans="1:47" s="1010" customFormat="1" ht="47.25">
      <c r="A30" s="1023" t="s">
        <v>409</v>
      </c>
      <c r="B30" s="1023"/>
      <c r="C30" s="1023"/>
      <c r="D30" s="1024" t="s">
        <v>46</v>
      </c>
      <c r="E30" s="908">
        <f>+E32+E33+E34+E35+E36+E38+E39+E40+E41+E42+E43+E37+E46+E45+E49+E44+E47+E48</f>
        <v>825436200</v>
      </c>
      <c r="F30" s="908">
        <f t="shared" ref="F30:Q30" si="11">+F32+F33+F34+F35+F36+F38+F39+F40+F41+F42+F43+F37+F46+F45+F49+F44+F47+F48</f>
        <v>713288670</v>
      </c>
      <c r="G30" s="908">
        <f t="shared" si="11"/>
        <v>289870390</v>
      </c>
      <c r="H30" s="908">
        <f t="shared" si="11"/>
        <v>59213610</v>
      </c>
      <c r="I30" s="908">
        <f t="shared" si="11"/>
        <v>112147530</v>
      </c>
      <c r="J30" s="908">
        <f t="shared" si="11"/>
        <v>98657495</v>
      </c>
      <c r="K30" s="908">
        <f t="shared" si="11"/>
        <v>36844460</v>
      </c>
      <c r="L30" s="908">
        <f t="shared" si="11"/>
        <v>2702839</v>
      </c>
      <c r="M30" s="908">
        <f t="shared" si="11"/>
        <v>2253137</v>
      </c>
      <c r="N30" s="908">
        <f t="shared" si="11"/>
        <v>61813035</v>
      </c>
      <c r="O30" s="908">
        <f t="shared" si="11"/>
        <v>60634145</v>
      </c>
      <c r="P30" s="908">
        <f t="shared" si="11"/>
        <v>48832100</v>
      </c>
      <c r="Q30" s="908">
        <f t="shared" si="11"/>
        <v>924093695</v>
      </c>
      <c r="R30" s="1482">
        <f t="shared" si="1"/>
        <v>924093695</v>
      </c>
      <c r="S30" s="1451">
        <f t="shared" si="4"/>
        <v>0</v>
      </c>
      <c r="T30" s="1450">
        <f t="shared" si="2"/>
        <v>-11802045</v>
      </c>
      <c r="U30" s="1450"/>
      <c r="V30" s="1450">
        <f t="shared" si="5"/>
        <v>-1178890</v>
      </c>
      <c r="W30" s="1452"/>
      <c r="X30" s="1452"/>
      <c r="Y30" s="1452"/>
      <c r="Z30" s="1452"/>
      <c r="AA30" s="1452"/>
      <c r="AB30" s="1452"/>
      <c r="AC30" s="1452"/>
      <c r="AD30" s="1452"/>
      <c r="AE30" s="1452"/>
      <c r="AF30" s="1452"/>
      <c r="AG30" s="1452"/>
      <c r="AH30" s="1452"/>
      <c r="AI30" s="1452"/>
      <c r="AJ30" s="1452"/>
      <c r="AK30" s="1452"/>
      <c r="AL30" s="1452"/>
      <c r="AM30" s="1452"/>
      <c r="AN30" s="1452"/>
      <c r="AO30" s="1452"/>
      <c r="AP30" s="1452"/>
      <c r="AQ30" s="1452"/>
      <c r="AR30" s="1452"/>
      <c r="AS30" s="1452"/>
      <c r="AT30" s="1452"/>
      <c r="AU30" s="1452"/>
    </row>
    <row r="31" spans="1:47" s="1010" customFormat="1" ht="47.25">
      <c r="A31" s="1023" t="s">
        <v>410</v>
      </c>
      <c r="B31" s="1023"/>
      <c r="C31" s="1023"/>
      <c r="D31" s="1024" t="s">
        <v>46</v>
      </c>
      <c r="E31" s="908">
        <f>SUM(E32:E49)</f>
        <v>825436200</v>
      </c>
      <c r="F31" s="908">
        <f t="shared" ref="F31:Q31" si="12">SUM(F32:F49)</f>
        <v>713288670</v>
      </c>
      <c r="G31" s="908">
        <f t="shared" si="12"/>
        <v>289870390</v>
      </c>
      <c r="H31" s="908">
        <f t="shared" si="12"/>
        <v>59213610</v>
      </c>
      <c r="I31" s="908">
        <f t="shared" si="12"/>
        <v>112147530</v>
      </c>
      <c r="J31" s="908">
        <f t="shared" si="12"/>
        <v>98657495</v>
      </c>
      <c r="K31" s="908">
        <f t="shared" si="12"/>
        <v>36844460</v>
      </c>
      <c r="L31" s="908">
        <f t="shared" si="12"/>
        <v>2702839</v>
      </c>
      <c r="M31" s="908">
        <f t="shared" si="12"/>
        <v>2253137</v>
      </c>
      <c r="N31" s="908">
        <f t="shared" si="12"/>
        <v>61813035</v>
      </c>
      <c r="O31" s="908">
        <f t="shared" si="12"/>
        <v>60634145</v>
      </c>
      <c r="P31" s="908">
        <f t="shared" si="12"/>
        <v>48832100</v>
      </c>
      <c r="Q31" s="908">
        <f t="shared" si="12"/>
        <v>924093695</v>
      </c>
      <c r="R31" s="1482">
        <f t="shared" si="1"/>
        <v>924093695</v>
      </c>
      <c r="S31" s="1451">
        <f t="shared" si="4"/>
        <v>0</v>
      </c>
      <c r="T31" s="1450">
        <f t="shared" si="2"/>
        <v>-11802045</v>
      </c>
      <c r="U31" s="1450"/>
      <c r="V31" s="1450">
        <f t="shared" si="5"/>
        <v>-1178890</v>
      </c>
      <c r="W31" s="1452"/>
      <c r="X31" s="1452"/>
      <c r="Y31" s="1452"/>
      <c r="Z31" s="1452"/>
      <c r="AA31" s="1452"/>
      <c r="AB31" s="1452"/>
      <c r="AC31" s="1452"/>
      <c r="AD31" s="1452"/>
      <c r="AE31" s="1452"/>
      <c r="AF31" s="1452"/>
      <c r="AG31" s="1452"/>
      <c r="AH31" s="1452"/>
      <c r="AI31" s="1452"/>
      <c r="AJ31" s="1452"/>
      <c r="AK31" s="1452"/>
      <c r="AL31" s="1452"/>
      <c r="AM31" s="1452"/>
      <c r="AN31" s="1452"/>
      <c r="AO31" s="1452"/>
      <c r="AP31" s="1452"/>
      <c r="AQ31" s="1452"/>
      <c r="AR31" s="1452"/>
      <c r="AS31" s="1452"/>
      <c r="AT31" s="1452"/>
      <c r="AU31" s="1452"/>
    </row>
    <row r="32" spans="1:47" s="1014" customFormat="1" ht="63">
      <c r="A32" s="1015" t="s">
        <v>411</v>
      </c>
      <c r="B32" s="1015" t="s">
        <v>11</v>
      </c>
      <c r="C32" s="1015" t="s">
        <v>12</v>
      </c>
      <c r="D32" s="1022" t="s">
        <v>259</v>
      </c>
      <c r="E32" s="1013">
        <f t="shared" ref="E32:E45" si="13">F32+I32</f>
        <v>50575250</v>
      </c>
      <c r="F32" s="1013">
        <v>50575250</v>
      </c>
      <c r="G32" s="1013">
        <v>26566030</v>
      </c>
      <c r="H32" s="1013">
        <v>8399760</v>
      </c>
      <c r="I32" s="1013"/>
      <c r="J32" s="1013">
        <f t="shared" ref="J32:J49" si="14">+K32+N32</f>
        <v>137300</v>
      </c>
      <c r="K32" s="1013">
        <v>24700</v>
      </c>
      <c r="L32" s="1013"/>
      <c r="M32" s="1013"/>
      <c r="N32" s="1013">
        <f>72100+40500</f>
        <v>112600</v>
      </c>
      <c r="O32" s="1013">
        <f>72100+40500</f>
        <v>112600</v>
      </c>
      <c r="P32" s="1013">
        <f>72100+40500</f>
        <v>112600</v>
      </c>
      <c r="Q32" s="1013">
        <f t="shared" ref="Q32:Q40" si="15">+J32+E32</f>
        <v>50712550</v>
      </c>
      <c r="R32" s="1482">
        <f t="shared" si="1"/>
        <v>50712550</v>
      </c>
      <c r="S32" s="1451">
        <f t="shared" si="4"/>
        <v>0</v>
      </c>
      <c r="T32" s="1450">
        <f t="shared" si="2"/>
        <v>0</v>
      </c>
      <c r="U32" s="1450"/>
      <c r="V32" s="1450">
        <f t="shared" si="5"/>
        <v>0</v>
      </c>
      <c r="W32" s="1453"/>
      <c r="X32" s="1453"/>
      <c r="Y32" s="1453"/>
      <c r="Z32" s="1453"/>
      <c r="AA32" s="1453"/>
      <c r="AB32" s="1453"/>
      <c r="AC32" s="1453"/>
      <c r="AD32" s="1453"/>
      <c r="AE32" s="1453"/>
      <c r="AF32" s="1453"/>
      <c r="AG32" s="1453"/>
      <c r="AH32" s="1453"/>
      <c r="AI32" s="1453"/>
      <c r="AJ32" s="1453"/>
      <c r="AK32" s="1453"/>
      <c r="AL32" s="1453"/>
      <c r="AM32" s="1453"/>
      <c r="AN32" s="1453"/>
      <c r="AO32" s="1453"/>
      <c r="AP32" s="1453"/>
      <c r="AQ32" s="1453"/>
      <c r="AR32" s="1453"/>
      <c r="AS32" s="1453"/>
      <c r="AT32" s="1453"/>
      <c r="AU32" s="1453"/>
    </row>
    <row r="33" spans="1:47" s="87" customFormat="1" ht="78" hidden="1" customHeight="1">
      <c r="A33" s="42" t="s">
        <v>412</v>
      </c>
      <c r="B33" s="42" t="s">
        <v>13</v>
      </c>
      <c r="C33" s="42" t="s">
        <v>12</v>
      </c>
      <c r="D33" s="41" t="s">
        <v>14</v>
      </c>
      <c r="E33" s="46">
        <f t="shared" si="13"/>
        <v>0</v>
      </c>
      <c r="F33" s="46"/>
      <c r="G33" s="46"/>
      <c r="H33" s="46"/>
      <c r="I33" s="46"/>
      <c r="J33" s="46">
        <f t="shared" si="14"/>
        <v>0</v>
      </c>
      <c r="K33" s="46"/>
      <c r="L33" s="46"/>
      <c r="M33" s="46"/>
      <c r="N33" s="46"/>
      <c r="O33" s="46"/>
      <c r="P33" s="46"/>
      <c r="Q33" s="46">
        <f t="shared" si="15"/>
        <v>0</v>
      </c>
      <c r="R33" s="1481">
        <f t="shared" si="1"/>
        <v>0</v>
      </c>
      <c r="S33" s="284">
        <f t="shared" si="4"/>
        <v>0</v>
      </c>
      <c r="T33" s="1006">
        <f t="shared" si="2"/>
        <v>0</v>
      </c>
      <c r="U33" s="536"/>
      <c r="V33" s="536">
        <f t="shared" si="5"/>
        <v>0</v>
      </c>
    </row>
    <row r="34" spans="1:47" s="1014" customFormat="1" ht="94.5">
      <c r="A34" s="1015" t="s">
        <v>413</v>
      </c>
      <c r="B34" s="1015" t="s">
        <v>15</v>
      </c>
      <c r="C34" s="1015" t="s">
        <v>12</v>
      </c>
      <c r="D34" s="1022" t="s">
        <v>16</v>
      </c>
      <c r="E34" s="1013">
        <f t="shared" si="13"/>
        <v>186250570</v>
      </c>
      <c r="F34" s="1013">
        <v>186250570</v>
      </c>
      <c r="G34" s="1013">
        <v>120744000</v>
      </c>
      <c r="H34" s="1013">
        <v>16230280</v>
      </c>
      <c r="I34" s="1013"/>
      <c r="J34" s="1026">
        <f t="shared" si="14"/>
        <v>1181000</v>
      </c>
      <c r="K34" s="1013">
        <v>218000</v>
      </c>
      <c r="L34" s="1013">
        <v>46680</v>
      </c>
      <c r="M34" s="1013">
        <v>3190</v>
      </c>
      <c r="N34" s="1013">
        <f>128000+632500+202500</f>
        <v>963000</v>
      </c>
      <c r="O34" s="1013">
        <f>632500+202500</f>
        <v>835000</v>
      </c>
      <c r="P34" s="1013">
        <f>632500+202500</f>
        <v>835000</v>
      </c>
      <c r="Q34" s="1013">
        <f t="shared" si="15"/>
        <v>187431570</v>
      </c>
      <c r="R34" s="1482">
        <f t="shared" si="1"/>
        <v>187431570</v>
      </c>
      <c r="S34" s="1451">
        <f t="shared" si="4"/>
        <v>0</v>
      </c>
      <c r="T34" s="1450">
        <f t="shared" si="2"/>
        <v>0</v>
      </c>
      <c r="U34" s="1450"/>
      <c r="V34" s="1450">
        <f t="shared" si="5"/>
        <v>-128000</v>
      </c>
      <c r="W34" s="1453"/>
      <c r="X34" s="1453"/>
      <c r="Y34" s="1453"/>
      <c r="Z34" s="1453"/>
      <c r="AA34" s="1453"/>
      <c r="AB34" s="1453"/>
      <c r="AC34" s="1453"/>
      <c r="AD34" s="1453"/>
      <c r="AE34" s="1453"/>
      <c r="AF34" s="1453"/>
      <c r="AG34" s="1453"/>
      <c r="AH34" s="1453"/>
      <c r="AI34" s="1453"/>
      <c r="AJ34" s="1453"/>
      <c r="AK34" s="1453"/>
      <c r="AL34" s="1453"/>
      <c r="AM34" s="1453"/>
      <c r="AN34" s="1453"/>
      <c r="AO34" s="1453"/>
      <c r="AP34" s="1453"/>
      <c r="AQ34" s="1453"/>
      <c r="AR34" s="1453"/>
      <c r="AS34" s="1453"/>
      <c r="AT34" s="1453"/>
      <c r="AU34" s="1453"/>
    </row>
    <row r="35" spans="1:47" s="1014" customFormat="1" ht="135.6" customHeight="1">
      <c r="A35" s="1015" t="s">
        <v>414</v>
      </c>
      <c r="B35" s="1015" t="s">
        <v>17</v>
      </c>
      <c r="C35" s="1015" t="s">
        <v>12</v>
      </c>
      <c r="D35" s="1022" t="s">
        <v>358</v>
      </c>
      <c r="E35" s="1013">
        <f t="shared" si="13"/>
        <v>29381450</v>
      </c>
      <c r="F35" s="1013">
        <v>29381450</v>
      </c>
      <c r="G35" s="1013">
        <v>13591130</v>
      </c>
      <c r="H35" s="1013">
        <v>5826080</v>
      </c>
      <c r="I35" s="1013"/>
      <c r="J35" s="1013">
        <f t="shared" si="14"/>
        <v>364760</v>
      </c>
      <c r="K35" s="1013">
        <v>304760</v>
      </c>
      <c r="L35" s="1013"/>
      <c r="M35" s="1013">
        <v>48190</v>
      </c>
      <c r="N35" s="1013">
        <v>60000</v>
      </c>
      <c r="O35" s="1013"/>
      <c r="P35" s="1013"/>
      <c r="Q35" s="1013">
        <f t="shared" si="15"/>
        <v>29746210</v>
      </c>
      <c r="R35" s="1482">
        <f t="shared" si="1"/>
        <v>29746210</v>
      </c>
      <c r="S35" s="1451">
        <f t="shared" si="4"/>
        <v>0</v>
      </c>
      <c r="T35" s="1450">
        <f t="shared" si="2"/>
        <v>0</v>
      </c>
      <c r="U35" s="1450"/>
      <c r="V35" s="1450">
        <f t="shared" si="5"/>
        <v>-60000</v>
      </c>
      <c r="W35" s="1453"/>
      <c r="X35" s="1453"/>
      <c r="Y35" s="1453"/>
      <c r="Z35" s="1453"/>
      <c r="AA35" s="1453"/>
      <c r="AB35" s="1453"/>
      <c r="AC35" s="1453"/>
      <c r="AD35" s="1453"/>
      <c r="AE35" s="1453"/>
      <c r="AF35" s="1453"/>
      <c r="AG35" s="1453"/>
      <c r="AH35" s="1453"/>
      <c r="AI35" s="1453"/>
      <c r="AJ35" s="1453"/>
      <c r="AK35" s="1453"/>
      <c r="AL35" s="1453"/>
      <c r="AM35" s="1453"/>
      <c r="AN35" s="1453"/>
      <c r="AO35" s="1453"/>
      <c r="AP35" s="1453"/>
      <c r="AQ35" s="1453"/>
      <c r="AR35" s="1453"/>
      <c r="AS35" s="1453"/>
      <c r="AT35" s="1453"/>
      <c r="AU35" s="1453"/>
    </row>
    <row r="36" spans="1:47" s="1014" customFormat="1" ht="47.25">
      <c r="A36" s="1015" t="s">
        <v>415</v>
      </c>
      <c r="B36" s="1015" t="s">
        <v>5</v>
      </c>
      <c r="C36" s="1015" t="s">
        <v>18</v>
      </c>
      <c r="D36" s="1022" t="s">
        <v>217</v>
      </c>
      <c r="E36" s="1013">
        <f t="shared" si="13"/>
        <v>17460500</v>
      </c>
      <c r="F36" s="1013">
        <v>17460500</v>
      </c>
      <c r="G36" s="1013">
        <v>11700140</v>
      </c>
      <c r="H36" s="1013">
        <v>1981080</v>
      </c>
      <c r="I36" s="1013"/>
      <c r="J36" s="1013">
        <f t="shared" si="14"/>
        <v>623360</v>
      </c>
      <c r="K36" s="1013">
        <v>176360</v>
      </c>
      <c r="L36" s="1013"/>
      <c r="M36" s="1013">
        <v>37540</v>
      </c>
      <c r="N36" s="1013">
        <f>15000+356000+76000</f>
        <v>447000</v>
      </c>
      <c r="O36" s="1013">
        <f>356000+76000</f>
        <v>432000</v>
      </c>
      <c r="P36" s="1013">
        <f>356000+76000</f>
        <v>432000</v>
      </c>
      <c r="Q36" s="1013">
        <f t="shared" si="15"/>
        <v>18083860</v>
      </c>
      <c r="R36" s="1482">
        <f t="shared" si="1"/>
        <v>18083860</v>
      </c>
      <c r="S36" s="1451">
        <f t="shared" si="4"/>
        <v>0</v>
      </c>
      <c r="T36" s="1450">
        <f t="shared" si="2"/>
        <v>0</v>
      </c>
      <c r="U36" s="1450"/>
      <c r="V36" s="1450">
        <f t="shared" si="5"/>
        <v>-15000</v>
      </c>
      <c r="W36" s="1453"/>
      <c r="X36" s="1453"/>
      <c r="Y36" s="1453"/>
      <c r="Z36" s="1453"/>
      <c r="AA36" s="1453"/>
      <c r="AB36" s="1453"/>
      <c r="AC36" s="1453"/>
      <c r="AD36" s="1453"/>
      <c r="AE36" s="1453"/>
      <c r="AF36" s="1453"/>
      <c r="AG36" s="1453"/>
      <c r="AH36" s="1453"/>
      <c r="AI36" s="1453"/>
      <c r="AJ36" s="1453"/>
      <c r="AK36" s="1453"/>
      <c r="AL36" s="1453"/>
      <c r="AM36" s="1453"/>
      <c r="AN36" s="1453"/>
      <c r="AO36" s="1453"/>
      <c r="AP36" s="1453"/>
      <c r="AQ36" s="1453"/>
      <c r="AR36" s="1453"/>
      <c r="AS36" s="1453"/>
      <c r="AT36" s="1453"/>
      <c r="AU36" s="1453"/>
    </row>
    <row r="37" spans="1:47" s="1014" customFormat="1" ht="31.5">
      <c r="A37" s="1015" t="s">
        <v>419</v>
      </c>
      <c r="B37" s="1015" t="s">
        <v>420</v>
      </c>
      <c r="C37" s="1015" t="s">
        <v>19</v>
      </c>
      <c r="D37" s="1022" t="s">
        <v>779</v>
      </c>
      <c r="E37" s="1013">
        <f t="shared" si="13"/>
        <v>180868800</v>
      </c>
      <c r="F37" s="1013">
        <v>180868800</v>
      </c>
      <c r="G37" s="1013">
        <v>101158540</v>
      </c>
      <c r="H37" s="1013">
        <v>25670970</v>
      </c>
      <c r="I37" s="1013"/>
      <c r="J37" s="1013">
        <f t="shared" si="14"/>
        <v>10483200</v>
      </c>
      <c r="K37" s="1013">
        <v>9101010</v>
      </c>
      <c r="L37" s="1013">
        <v>2294299</v>
      </c>
      <c r="M37" s="1013">
        <v>2164217</v>
      </c>
      <c r="N37" s="1013">
        <f>123890+1258300</f>
        <v>1382190</v>
      </c>
      <c r="O37" s="1013">
        <v>1258300</v>
      </c>
      <c r="P37" s="1013">
        <v>1258300</v>
      </c>
      <c r="Q37" s="1013">
        <f t="shared" si="15"/>
        <v>191352000</v>
      </c>
      <c r="R37" s="1482">
        <f t="shared" si="1"/>
        <v>191352000</v>
      </c>
      <c r="S37" s="1451">
        <f t="shared" si="4"/>
        <v>0</v>
      </c>
      <c r="T37" s="1450">
        <f t="shared" si="2"/>
        <v>0</v>
      </c>
      <c r="U37" s="1450"/>
      <c r="V37" s="1450">
        <f t="shared" si="5"/>
        <v>-123890</v>
      </c>
      <c r="W37" s="1453"/>
      <c r="X37" s="1453"/>
      <c r="Y37" s="1453"/>
      <c r="Z37" s="1453"/>
      <c r="AA37" s="1453"/>
      <c r="AB37" s="1453"/>
      <c r="AC37" s="1453"/>
      <c r="AD37" s="1453"/>
      <c r="AE37" s="1453"/>
      <c r="AF37" s="1453"/>
      <c r="AG37" s="1453"/>
      <c r="AH37" s="1453"/>
      <c r="AI37" s="1453"/>
      <c r="AJ37" s="1453"/>
      <c r="AK37" s="1453"/>
      <c r="AL37" s="1453"/>
      <c r="AM37" s="1453"/>
      <c r="AN37" s="1453"/>
      <c r="AO37" s="1453"/>
      <c r="AP37" s="1453"/>
      <c r="AQ37" s="1453"/>
      <c r="AR37" s="1453"/>
      <c r="AS37" s="1453"/>
      <c r="AT37" s="1453"/>
      <c r="AU37" s="1453"/>
    </row>
    <row r="38" spans="1:47" s="1014" customFormat="1" ht="56.45" customHeight="1">
      <c r="A38" s="1015" t="s">
        <v>416</v>
      </c>
      <c r="B38" s="1015" t="s">
        <v>20</v>
      </c>
      <c r="C38" s="1015" t="s">
        <v>21</v>
      </c>
      <c r="D38" s="1022" t="s">
        <v>421</v>
      </c>
      <c r="E38" s="1013">
        <f t="shared" si="13"/>
        <v>170381700</v>
      </c>
      <c r="F38" s="1013">
        <v>170381700</v>
      </c>
      <c r="G38" s="1013"/>
      <c r="H38" s="1013"/>
      <c r="I38" s="1013"/>
      <c r="J38" s="1013">
        <f>+K38+N38</f>
        <v>27155760</v>
      </c>
      <c r="K38" s="1013">
        <v>26303760</v>
      </c>
      <c r="L38" s="1013"/>
      <c r="M38" s="1013"/>
      <c r="N38" s="1013">
        <v>852000</v>
      </c>
      <c r="O38" s="1013"/>
      <c r="P38" s="1013"/>
      <c r="Q38" s="1013">
        <f t="shared" si="15"/>
        <v>197537460</v>
      </c>
      <c r="R38" s="1482">
        <f t="shared" si="1"/>
        <v>197537460</v>
      </c>
      <c r="S38" s="1451">
        <f t="shared" si="4"/>
        <v>0</v>
      </c>
      <c r="T38" s="1450">
        <f t="shared" si="2"/>
        <v>0</v>
      </c>
      <c r="U38" s="1450"/>
      <c r="V38" s="1450">
        <f t="shared" si="5"/>
        <v>-852000</v>
      </c>
      <c r="W38" s="1453"/>
      <c r="X38" s="1453"/>
      <c r="Y38" s="1453"/>
      <c r="Z38" s="1453"/>
      <c r="AA38" s="1453"/>
      <c r="AB38" s="1453"/>
      <c r="AC38" s="1453"/>
      <c r="AD38" s="1453"/>
      <c r="AE38" s="1453"/>
      <c r="AF38" s="1453"/>
      <c r="AG38" s="1453"/>
      <c r="AH38" s="1453"/>
      <c r="AI38" s="1453"/>
      <c r="AJ38" s="1453"/>
      <c r="AK38" s="1453"/>
      <c r="AL38" s="1453"/>
      <c r="AM38" s="1453"/>
      <c r="AN38" s="1453"/>
      <c r="AO38" s="1453"/>
      <c r="AP38" s="1453"/>
      <c r="AQ38" s="1453"/>
      <c r="AR38" s="1453"/>
      <c r="AS38" s="1453"/>
      <c r="AT38" s="1453"/>
      <c r="AU38" s="1453"/>
    </row>
    <row r="39" spans="1:47" s="1014" customFormat="1" ht="31.5">
      <c r="A39" s="1015" t="s">
        <v>417</v>
      </c>
      <c r="B39" s="1015" t="s">
        <v>8</v>
      </c>
      <c r="C39" s="1015" t="s">
        <v>9</v>
      </c>
      <c r="D39" s="1022" t="s">
        <v>403</v>
      </c>
      <c r="E39" s="1013">
        <f t="shared" si="13"/>
        <v>19335500</v>
      </c>
      <c r="F39" s="1013">
        <v>19335500</v>
      </c>
      <c r="G39" s="1013">
        <v>14218590</v>
      </c>
      <c r="H39" s="1013">
        <v>1058330</v>
      </c>
      <c r="I39" s="1013"/>
      <c r="J39" s="1013">
        <f t="shared" si="14"/>
        <v>727870</v>
      </c>
      <c r="K39" s="1013">
        <v>715870</v>
      </c>
      <c r="L39" s="1013">
        <v>361860</v>
      </c>
      <c r="M39" s="1013"/>
      <c r="N39" s="1013">
        <v>12000</v>
      </c>
      <c r="O39" s="1013">
        <v>12000</v>
      </c>
      <c r="P39" s="1013">
        <v>12000</v>
      </c>
      <c r="Q39" s="1013">
        <f t="shared" si="15"/>
        <v>20063370</v>
      </c>
      <c r="R39" s="1482">
        <f t="shared" si="1"/>
        <v>20063370</v>
      </c>
      <c r="S39" s="1451">
        <f t="shared" si="4"/>
        <v>0</v>
      </c>
      <c r="T39" s="1450">
        <f t="shared" si="2"/>
        <v>0</v>
      </c>
      <c r="U39" s="1450"/>
      <c r="V39" s="1450">
        <f t="shared" si="5"/>
        <v>0</v>
      </c>
      <c r="W39" s="1453"/>
      <c r="X39" s="1453"/>
      <c r="Y39" s="1453"/>
      <c r="Z39" s="1453"/>
      <c r="AA39" s="1453"/>
      <c r="AB39" s="1453"/>
      <c r="AC39" s="1453"/>
      <c r="AD39" s="1453"/>
      <c r="AE39" s="1453"/>
      <c r="AF39" s="1453"/>
      <c r="AG39" s="1453"/>
      <c r="AH39" s="1453"/>
      <c r="AI39" s="1453"/>
      <c r="AJ39" s="1453"/>
      <c r="AK39" s="1453"/>
      <c r="AL39" s="1453"/>
      <c r="AM39" s="1453"/>
      <c r="AN39" s="1453"/>
      <c r="AO39" s="1453"/>
      <c r="AP39" s="1453"/>
      <c r="AQ39" s="1453"/>
      <c r="AR39" s="1453"/>
      <c r="AS39" s="1453"/>
      <c r="AT39" s="1453"/>
      <c r="AU39" s="1453"/>
    </row>
    <row r="40" spans="1:47" s="87" customFormat="1" ht="31.15" hidden="1" customHeight="1">
      <c r="A40" s="42" t="s">
        <v>422</v>
      </c>
      <c r="B40" s="42" t="s">
        <v>68</v>
      </c>
      <c r="C40" s="42" t="s">
        <v>291</v>
      </c>
      <c r="D40" s="41" t="s">
        <v>423</v>
      </c>
      <c r="E40" s="316">
        <f t="shared" si="13"/>
        <v>0</v>
      </c>
      <c r="F40" s="316"/>
      <c r="G40" s="316"/>
      <c r="H40" s="316"/>
      <c r="I40" s="316"/>
      <c r="J40" s="316">
        <f t="shared" si="14"/>
        <v>0</v>
      </c>
      <c r="K40" s="316"/>
      <c r="L40" s="316"/>
      <c r="M40" s="316"/>
      <c r="N40" s="316"/>
      <c r="O40" s="316"/>
      <c r="P40" s="316"/>
      <c r="Q40" s="316">
        <f t="shared" si="15"/>
        <v>0</v>
      </c>
      <c r="R40" s="1481">
        <f t="shared" si="1"/>
        <v>0</v>
      </c>
      <c r="S40" s="284">
        <f t="shared" si="4"/>
        <v>0</v>
      </c>
      <c r="T40" s="1006">
        <f t="shared" si="2"/>
        <v>0</v>
      </c>
      <c r="U40" s="536"/>
      <c r="V40" s="536">
        <f t="shared" si="5"/>
        <v>0</v>
      </c>
    </row>
    <row r="41" spans="1:47" s="1014" customFormat="1" ht="31.5">
      <c r="A41" s="1017" t="s">
        <v>424</v>
      </c>
      <c r="B41" s="1017" t="s">
        <v>425</v>
      </c>
      <c r="C41" s="1017" t="s">
        <v>291</v>
      </c>
      <c r="D41" s="1018" t="s">
        <v>426</v>
      </c>
      <c r="E41" s="1013">
        <f t="shared" si="13"/>
        <v>153780</v>
      </c>
      <c r="F41" s="1013">
        <v>153780</v>
      </c>
      <c r="G41" s="1013">
        <v>75220</v>
      </c>
      <c r="H41" s="1013">
        <v>31810</v>
      </c>
      <c r="I41" s="1013"/>
      <c r="J41" s="1013">
        <f t="shared" si="14"/>
        <v>0</v>
      </c>
      <c r="K41" s="1013"/>
      <c r="L41" s="1013"/>
      <c r="M41" s="1013"/>
      <c r="N41" s="1013"/>
      <c r="O41" s="1013"/>
      <c r="P41" s="1013"/>
      <c r="Q41" s="1013">
        <f>+J41+E41</f>
        <v>153780</v>
      </c>
      <c r="R41" s="1482">
        <f t="shared" si="1"/>
        <v>153780</v>
      </c>
      <c r="S41" s="1451">
        <f t="shared" si="4"/>
        <v>0</v>
      </c>
      <c r="T41" s="1450">
        <f t="shared" si="2"/>
        <v>0</v>
      </c>
      <c r="U41" s="1450"/>
      <c r="V41" s="1450">
        <f t="shared" si="5"/>
        <v>0</v>
      </c>
      <c r="W41" s="1453"/>
      <c r="X41" s="1453"/>
      <c r="Y41" s="1453"/>
      <c r="Z41" s="1453"/>
      <c r="AA41" s="1453"/>
      <c r="AB41" s="1453"/>
      <c r="AC41" s="1453"/>
      <c r="AD41" s="1453"/>
      <c r="AE41" s="1453"/>
      <c r="AF41" s="1453"/>
      <c r="AG41" s="1453"/>
      <c r="AH41" s="1453"/>
      <c r="AI41" s="1453"/>
      <c r="AJ41" s="1453"/>
      <c r="AK41" s="1453"/>
      <c r="AL41" s="1453"/>
      <c r="AM41" s="1453"/>
      <c r="AN41" s="1453"/>
      <c r="AO41" s="1453"/>
      <c r="AP41" s="1453"/>
      <c r="AQ41" s="1453"/>
      <c r="AR41" s="1453"/>
      <c r="AS41" s="1453"/>
      <c r="AT41" s="1453"/>
      <c r="AU41" s="1453"/>
    </row>
    <row r="42" spans="1:47" s="1027" customFormat="1" ht="15.75">
      <c r="A42" s="1017" t="s">
        <v>427</v>
      </c>
      <c r="B42" s="1017" t="s">
        <v>428</v>
      </c>
      <c r="C42" s="1017" t="s">
        <v>291</v>
      </c>
      <c r="D42" s="1018" t="s">
        <v>429</v>
      </c>
      <c r="E42" s="1026">
        <f t="shared" si="13"/>
        <v>2031970</v>
      </c>
      <c r="F42" s="1026">
        <v>2031970</v>
      </c>
      <c r="G42" s="1026">
        <v>712850</v>
      </c>
      <c r="H42" s="1026"/>
      <c r="I42" s="1026"/>
      <c r="J42" s="1026">
        <f t="shared" si="14"/>
        <v>57984245</v>
      </c>
      <c r="K42" s="1026"/>
      <c r="L42" s="1026"/>
      <c r="M42" s="1026"/>
      <c r="N42" s="1026">
        <v>57984245</v>
      </c>
      <c r="O42" s="1026">
        <v>57984245</v>
      </c>
      <c r="P42" s="1026">
        <f>3000000+42597200+585000</f>
        <v>46182200</v>
      </c>
      <c r="Q42" s="1026">
        <f>+J42+E42</f>
        <v>60016215</v>
      </c>
      <c r="R42" s="1482">
        <f t="shared" si="1"/>
        <v>60016215</v>
      </c>
      <c r="S42" s="1451"/>
      <c r="T42" s="1450">
        <f t="shared" si="2"/>
        <v>-11802045</v>
      </c>
      <c r="U42" s="1450"/>
      <c r="V42" s="1450">
        <f t="shared" si="5"/>
        <v>0</v>
      </c>
      <c r="W42" s="1458"/>
      <c r="X42" s="1458"/>
      <c r="Y42" s="1458"/>
      <c r="Z42" s="1458"/>
      <c r="AA42" s="1458"/>
      <c r="AB42" s="1458"/>
      <c r="AC42" s="1458"/>
      <c r="AD42" s="1458"/>
      <c r="AE42" s="1458"/>
      <c r="AF42" s="1458"/>
      <c r="AG42" s="1458"/>
      <c r="AH42" s="1458"/>
      <c r="AI42" s="1458"/>
      <c r="AJ42" s="1458"/>
      <c r="AK42" s="1458"/>
      <c r="AL42" s="1458"/>
      <c r="AM42" s="1458"/>
      <c r="AN42" s="1458"/>
      <c r="AO42" s="1458"/>
      <c r="AP42" s="1458"/>
      <c r="AQ42" s="1458"/>
      <c r="AR42" s="1458"/>
      <c r="AS42" s="1458"/>
      <c r="AT42" s="1458"/>
      <c r="AU42" s="1458"/>
    </row>
    <row r="43" spans="1:47" s="1021" customFormat="1" ht="47.25">
      <c r="A43" s="1017" t="s">
        <v>418</v>
      </c>
      <c r="B43" s="1017" t="s">
        <v>350</v>
      </c>
      <c r="C43" s="1017" t="s">
        <v>293</v>
      </c>
      <c r="D43" s="1018" t="s">
        <v>47</v>
      </c>
      <c r="E43" s="1020">
        <f t="shared" si="13"/>
        <v>1421450</v>
      </c>
      <c r="F43" s="1020">
        <v>1421450</v>
      </c>
      <c r="G43" s="1020">
        <v>1103890</v>
      </c>
      <c r="H43" s="1020">
        <v>15300</v>
      </c>
      <c r="I43" s="1020"/>
      <c r="J43" s="1026">
        <f t="shared" si="14"/>
        <v>0</v>
      </c>
      <c r="K43" s="1020"/>
      <c r="L43" s="1020"/>
      <c r="M43" s="1020"/>
      <c r="N43" s="1020"/>
      <c r="O43" s="1020"/>
      <c r="P43" s="1020"/>
      <c r="Q43" s="1020">
        <f t="shared" ref="Q43:Q49" si="16">+J43+E43</f>
        <v>1421450</v>
      </c>
      <c r="R43" s="1482">
        <f t="shared" si="1"/>
        <v>1421450</v>
      </c>
      <c r="S43" s="1451">
        <f t="shared" si="4"/>
        <v>0</v>
      </c>
      <c r="T43" s="1450">
        <f t="shared" si="2"/>
        <v>0</v>
      </c>
      <c r="U43" s="1450"/>
      <c r="V43" s="1450">
        <f t="shared" si="5"/>
        <v>0</v>
      </c>
      <c r="W43" s="1454"/>
      <c r="X43" s="1454"/>
      <c r="Y43" s="1454"/>
      <c r="Z43" s="1454"/>
      <c r="AA43" s="1454"/>
      <c r="AB43" s="1454"/>
      <c r="AC43" s="1454"/>
      <c r="AD43" s="1454"/>
      <c r="AE43" s="1454"/>
      <c r="AF43" s="1454"/>
      <c r="AG43" s="1454"/>
      <c r="AH43" s="1454"/>
      <c r="AI43" s="1454"/>
      <c r="AJ43" s="1454"/>
      <c r="AK43" s="1454"/>
      <c r="AL43" s="1454"/>
      <c r="AM43" s="1454"/>
      <c r="AN43" s="1454"/>
      <c r="AO43" s="1454"/>
      <c r="AP43" s="1454"/>
      <c r="AQ43" s="1454"/>
      <c r="AR43" s="1454"/>
      <c r="AS43" s="1454"/>
      <c r="AT43" s="1454"/>
      <c r="AU43" s="1454"/>
    </row>
    <row r="44" spans="1:47" s="1021" customFormat="1" ht="47.25">
      <c r="A44" s="1017" t="s">
        <v>760</v>
      </c>
      <c r="B44" s="1017" t="s">
        <v>761</v>
      </c>
      <c r="C44" s="1017" t="s">
        <v>7</v>
      </c>
      <c r="D44" s="1022" t="s">
        <v>762</v>
      </c>
      <c r="E44" s="1020">
        <f t="shared" si="13"/>
        <v>35781400</v>
      </c>
      <c r="F44" s="1020">
        <v>35781400</v>
      </c>
      <c r="G44" s="1020"/>
      <c r="H44" s="1020"/>
      <c r="I44" s="1020"/>
      <c r="J44" s="1026">
        <f t="shared" si="14"/>
        <v>0</v>
      </c>
      <c r="K44" s="1028"/>
      <c r="L44" s="1020"/>
      <c r="M44" s="1020"/>
      <c r="N44" s="1020"/>
      <c r="O44" s="1020"/>
      <c r="P44" s="1020"/>
      <c r="Q44" s="1020">
        <f t="shared" si="16"/>
        <v>35781400</v>
      </c>
      <c r="R44" s="1482">
        <f t="shared" si="1"/>
        <v>35781400</v>
      </c>
      <c r="S44" s="1451">
        <f t="shared" si="4"/>
        <v>0</v>
      </c>
      <c r="T44" s="1450">
        <f t="shared" si="2"/>
        <v>0</v>
      </c>
      <c r="U44" s="1450"/>
      <c r="V44" s="1450">
        <f t="shared" si="5"/>
        <v>0</v>
      </c>
      <c r="W44" s="1454"/>
      <c r="X44" s="1454"/>
      <c r="Y44" s="1454"/>
      <c r="Z44" s="1454"/>
      <c r="AA44" s="1454"/>
      <c r="AB44" s="1454"/>
      <c r="AC44" s="1454"/>
      <c r="AD44" s="1454"/>
      <c r="AE44" s="1454"/>
      <c r="AF44" s="1454"/>
      <c r="AG44" s="1454"/>
      <c r="AH44" s="1454"/>
      <c r="AI44" s="1454"/>
      <c r="AJ44" s="1454"/>
      <c r="AK44" s="1454"/>
      <c r="AL44" s="1454"/>
      <c r="AM44" s="1454"/>
      <c r="AN44" s="1454"/>
      <c r="AO44" s="1454"/>
      <c r="AP44" s="1454"/>
      <c r="AQ44" s="1454"/>
      <c r="AR44" s="1454"/>
      <c r="AS44" s="1454"/>
      <c r="AT44" s="1454"/>
      <c r="AU44" s="1454"/>
    </row>
    <row r="45" spans="1:47" s="537" customFormat="1" ht="55.15" customHeight="1">
      <c r="A45" s="42" t="s">
        <v>430</v>
      </c>
      <c r="B45" s="42" t="s">
        <v>431</v>
      </c>
      <c r="C45" s="42" t="s">
        <v>7</v>
      </c>
      <c r="D45" s="41" t="s">
        <v>432</v>
      </c>
      <c r="E45" s="319">
        <f t="shared" si="13"/>
        <v>28599200</v>
      </c>
      <c r="F45" s="316"/>
      <c r="G45" s="316"/>
      <c r="H45" s="316"/>
      <c r="I45" s="316">
        <f>26340500+2258700</f>
        <v>28599200</v>
      </c>
      <c r="J45" s="46">
        <f t="shared" si="14"/>
        <v>0</v>
      </c>
      <c r="K45" s="329"/>
      <c r="L45" s="323"/>
      <c r="M45" s="323"/>
      <c r="N45" s="316"/>
      <c r="O45" s="316"/>
      <c r="P45" s="316"/>
      <c r="Q45" s="319">
        <f t="shared" si="16"/>
        <v>28599200</v>
      </c>
      <c r="R45" s="1482">
        <f t="shared" si="1"/>
        <v>28599200</v>
      </c>
      <c r="S45" s="1451">
        <f t="shared" si="4"/>
        <v>0</v>
      </c>
      <c r="T45" s="1450">
        <f t="shared" si="2"/>
        <v>0</v>
      </c>
      <c r="U45" s="1450"/>
      <c r="V45" s="1450">
        <f t="shared" si="5"/>
        <v>0</v>
      </c>
      <c r="W45" s="1453"/>
      <c r="X45" s="1453"/>
      <c r="Y45" s="1453"/>
      <c r="Z45" s="1453"/>
      <c r="AA45" s="1453"/>
      <c r="AB45" s="1453"/>
      <c r="AC45" s="1453"/>
      <c r="AD45" s="1453"/>
      <c r="AE45" s="1453"/>
      <c r="AF45" s="1453"/>
      <c r="AG45" s="1453"/>
      <c r="AH45" s="1453"/>
      <c r="AI45" s="1453"/>
      <c r="AJ45" s="1453"/>
      <c r="AK45" s="1453"/>
      <c r="AL45" s="1453"/>
      <c r="AM45" s="1453"/>
      <c r="AN45" s="1453"/>
      <c r="AO45" s="1453"/>
      <c r="AP45" s="1453"/>
      <c r="AQ45" s="1453"/>
      <c r="AR45" s="1453"/>
      <c r="AS45" s="1453"/>
      <c r="AT45" s="1453"/>
      <c r="AU45" s="1453"/>
    </row>
    <row r="46" spans="1:47" s="1014" customFormat="1" ht="68.45" customHeight="1">
      <c r="A46" s="1015" t="s">
        <v>433</v>
      </c>
      <c r="B46" s="1029">
        <v>9330</v>
      </c>
      <c r="C46" s="1015" t="s">
        <v>7</v>
      </c>
      <c r="D46" s="1030" t="s">
        <v>434</v>
      </c>
      <c r="E46" s="1013">
        <f>F46+I46</f>
        <v>16163200</v>
      </c>
      <c r="F46" s="1013">
        <f>13182600-3229700+1155000</f>
        <v>11107900</v>
      </c>
      <c r="G46" s="1013"/>
      <c r="H46" s="1013"/>
      <c r="I46" s="1013">
        <f>558000+3229700+630000+437600+200000</f>
        <v>5055300</v>
      </c>
      <c r="J46" s="1026">
        <f t="shared" si="14"/>
        <v>0</v>
      </c>
      <c r="K46" s="1031"/>
      <c r="L46" s="1032"/>
      <c r="M46" s="1032"/>
      <c r="N46" s="1013"/>
      <c r="O46" s="1032"/>
      <c r="P46" s="1032"/>
      <c r="Q46" s="1013">
        <f t="shared" si="16"/>
        <v>16163200</v>
      </c>
      <c r="R46" s="1482">
        <f t="shared" si="1"/>
        <v>16163200</v>
      </c>
      <c r="S46" s="1451">
        <f t="shared" si="4"/>
        <v>0</v>
      </c>
      <c r="T46" s="1450">
        <f t="shared" si="2"/>
        <v>0</v>
      </c>
      <c r="U46" s="1450"/>
      <c r="V46" s="1450">
        <f t="shared" si="5"/>
        <v>0</v>
      </c>
      <c r="W46" s="1453"/>
      <c r="X46" s="1453"/>
      <c r="Y46" s="1453"/>
      <c r="Z46" s="1453"/>
      <c r="AA46" s="1453"/>
      <c r="AB46" s="1453"/>
      <c r="AC46" s="1453"/>
      <c r="AD46" s="1453"/>
      <c r="AE46" s="1453"/>
      <c r="AF46" s="1453"/>
      <c r="AG46" s="1453"/>
      <c r="AH46" s="1453"/>
      <c r="AI46" s="1453"/>
      <c r="AJ46" s="1453"/>
      <c r="AK46" s="1453"/>
      <c r="AL46" s="1453"/>
      <c r="AM46" s="1453"/>
      <c r="AN46" s="1453"/>
      <c r="AO46" s="1453"/>
      <c r="AP46" s="1453"/>
      <c r="AQ46" s="1453"/>
      <c r="AR46" s="1453"/>
      <c r="AS46" s="1453"/>
      <c r="AT46" s="1453"/>
      <c r="AU46" s="1453"/>
    </row>
    <row r="47" spans="1:47" s="537" customFormat="1" ht="86.45" customHeight="1">
      <c r="A47" s="42" t="s">
        <v>899</v>
      </c>
      <c r="B47" s="39">
        <v>9350</v>
      </c>
      <c r="C47" s="42" t="s">
        <v>7</v>
      </c>
      <c r="D47" s="43" t="s">
        <v>905</v>
      </c>
      <c r="E47" s="316">
        <f>F47+I47</f>
        <v>43918030</v>
      </c>
      <c r="F47" s="316">
        <f>568400+7970000</f>
        <v>8538400</v>
      </c>
      <c r="G47" s="316"/>
      <c r="H47" s="316"/>
      <c r="I47" s="316">
        <v>35379630</v>
      </c>
      <c r="J47" s="46">
        <f t="shared" si="14"/>
        <v>0</v>
      </c>
      <c r="K47" s="329"/>
      <c r="L47" s="323"/>
      <c r="M47" s="323"/>
      <c r="N47" s="316"/>
      <c r="O47" s="323"/>
      <c r="P47" s="323"/>
      <c r="Q47" s="316">
        <f t="shared" si="16"/>
        <v>43918030</v>
      </c>
      <c r="R47" s="1482">
        <f t="shared" si="1"/>
        <v>43918030</v>
      </c>
      <c r="S47" s="1451"/>
      <c r="T47" s="1450">
        <f t="shared" si="2"/>
        <v>0</v>
      </c>
      <c r="U47" s="1450"/>
      <c r="V47" s="1450">
        <f t="shared" si="5"/>
        <v>0</v>
      </c>
      <c r="W47" s="1453"/>
      <c r="X47" s="1453"/>
      <c r="Y47" s="1453"/>
      <c r="Z47" s="1453"/>
      <c r="AA47" s="1453"/>
      <c r="AB47" s="1453"/>
      <c r="AC47" s="1453"/>
      <c r="AD47" s="1453"/>
      <c r="AE47" s="1453"/>
      <c r="AF47" s="1453"/>
      <c r="AG47" s="1453"/>
      <c r="AH47" s="1453"/>
      <c r="AI47" s="1453"/>
      <c r="AJ47" s="1453"/>
      <c r="AK47" s="1453"/>
      <c r="AL47" s="1453"/>
      <c r="AM47" s="1453"/>
      <c r="AN47" s="1453"/>
      <c r="AO47" s="1453"/>
      <c r="AP47" s="1453"/>
      <c r="AQ47" s="1453"/>
      <c r="AR47" s="1453"/>
      <c r="AS47" s="1453"/>
      <c r="AT47" s="1453"/>
      <c r="AU47" s="1453"/>
    </row>
    <row r="48" spans="1:47" s="537" customFormat="1" ht="74.45" customHeight="1">
      <c r="A48" s="42" t="s">
        <v>1292</v>
      </c>
      <c r="B48" s="39">
        <v>9360</v>
      </c>
      <c r="C48" s="42" t="s">
        <v>7</v>
      </c>
      <c r="D48" s="173" t="s">
        <v>2014</v>
      </c>
      <c r="E48" s="316">
        <f>F48+I48</f>
        <v>43113400</v>
      </c>
      <c r="F48" s="316"/>
      <c r="G48" s="316"/>
      <c r="H48" s="316"/>
      <c r="I48" s="316">
        <v>43113400</v>
      </c>
      <c r="J48" s="46">
        <f t="shared" si="14"/>
        <v>0</v>
      </c>
      <c r="K48" s="329"/>
      <c r="L48" s="323"/>
      <c r="M48" s="323"/>
      <c r="N48" s="316"/>
      <c r="O48" s="323"/>
      <c r="P48" s="323"/>
      <c r="Q48" s="316">
        <f>+J48+E48</f>
        <v>43113400</v>
      </c>
      <c r="R48" s="1482">
        <f t="shared" si="1"/>
        <v>43113400</v>
      </c>
      <c r="S48" s="1451"/>
      <c r="T48" s="1450">
        <f t="shared" si="2"/>
        <v>0</v>
      </c>
      <c r="U48" s="1450"/>
      <c r="V48" s="1450"/>
      <c r="W48" s="1453"/>
      <c r="X48" s="1453"/>
      <c r="Y48" s="1453"/>
      <c r="Z48" s="1453"/>
      <c r="AA48" s="1453"/>
      <c r="AB48" s="1453"/>
      <c r="AC48" s="1453"/>
      <c r="AD48" s="1453"/>
      <c r="AE48" s="1453"/>
      <c r="AF48" s="1453"/>
      <c r="AG48" s="1453"/>
      <c r="AH48" s="1453"/>
      <c r="AI48" s="1453"/>
      <c r="AJ48" s="1453"/>
      <c r="AK48" s="1453"/>
      <c r="AL48" s="1453"/>
      <c r="AM48" s="1453"/>
      <c r="AN48" s="1453"/>
      <c r="AO48" s="1453"/>
      <c r="AP48" s="1453"/>
      <c r="AQ48" s="1453"/>
      <c r="AR48" s="1453"/>
      <c r="AS48" s="1453"/>
      <c r="AT48" s="1453"/>
      <c r="AU48" s="1453"/>
    </row>
    <row r="49" spans="1:47" s="537" customFormat="1" ht="31.15" hidden="1" customHeight="1">
      <c r="A49" s="42" t="s">
        <v>728</v>
      </c>
      <c r="B49" s="42" t="s">
        <v>401</v>
      </c>
      <c r="C49" s="42" t="s">
        <v>7</v>
      </c>
      <c r="D49" s="40" t="s">
        <v>474</v>
      </c>
      <c r="E49" s="316">
        <f>F49+I49</f>
        <v>0</v>
      </c>
      <c r="F49" s="316"/>
      <c r="G49" s="316"/>
      <c r="H49" s="316"/>
      <c r="I49" s="316"/>
      <c r="J49" s="46">
        <f t="shared" si="14"/>
        <v>0</v>
      </c>
      <c r="K49" s="329"/>
      <c r="L49" s="323"/>
      <c r="M49" s="323"/>
      <c r="N49" s="316"/>
      <c r="O49" s="323"/>
      <c r="P49" s="323"/>
      <c r="Q49" s="316">
        <f t="shared" si="16"/>
        <v>0</v>
      </c>
      <c r="R49" s="1481">
        <f t="shared" si="1"/>
        <v>0</v>
      </c>
      <c r="S49" s="535">
        <f t="shared" si="4"/>
        <v>0</v>
      </c>
      <c r="T49" s="1006">
        <f t="shared" si="2"/>
        <v>0</v>
      </c>
      <c r="U49" s="536"/>
      <c r="V49" s="536">
        <f t="shared" si="5"/>
        <v>0</v>
      </c>
    </row>
    <row r="50" spans="1:47" s="1036" customFormat="1" ht="47.25">
      <c r="A50" s="1033" t="s">
        <v>435</v>
      </c>
      <c r="B50" s="1033"/>
      <c r="C50" s="1033"/>
      <c r="D50" s="1024" t="s">
        <v>295</v>
      </c>
      <c r="E50" s="1199">
        <f>+E53+E55+E56+E57+E59+E60+E61+E63+E64+E65+E69+E68+E66+E70+E67+E62+E58+E72+E73+E74+E75+E54+E71</f>
        <v>1130429781.05</v>
      </c>
      <c r="F50" s="1199">
        <f t="shared" ref="F50:Q50" si="17">+F53+F55+F56+F57+F59+F60+F61+F63+F64+F65+F69+F68+F66+F70+F67+F62+F58+F72+F73+F74+F75+F54+F71</f>
        <v>1130429781.05</v>
      </c>
      <c r="G50" s="1199">
        <f t="shared" si="17"/>
        <v>0</v>
      </c>
      <c r="H50" s="1199">
        <f t="shared" si="17"/>
        <v>0</v>
      </c>
      <c r="I50" s="1199">
        <f t="shared" si="17"/>
        <v>0</v>
      </c>
      <c r="J50" s="1199">
        <f t="shared" si="17"/>
        <v>127343525</v>
      </c>
      <c r="K50" s="1199">
        <f t="shared" si="17"/>
        <v>95159093</v>
      </c>
      <c r="L50" s="1199">
        <f t="shared" si="17"/>
        <v>0</v>
      </c>
      <c r="M50" s="1199">
        <f t="shared" si="17"/>
        <v>0</v>
      </c>
      <c r="N50" s="1199">
        <f t="shared" si="17"/>
        <v>32184432</v>
      </c>
      <c r="O50" s="1199">
        <f t="shared" si="17"/>
        <v>27954032</v>
      </c>
      <c r="P50" s="1199">
        <f t="shared" si="17"/>
        <v>27914032</v>
      </c>
      <c r="Q50" s="1199">
        <f t="shared" si="17"/>
        <v>1257773306.05</v>
      </c>
      <c r="R50" s="1482">
        <f t="shared" si="1"/>
        <v>1257773306.05</v>
      </c>
      <c r="S50" s="1455">
        <f t="shared" si="4"/>
        <v>0</v>
      </c>
      <c r="T50" s="1450">
        <f t="shared" si="2"/>
        <v>-40000</v>
      </c>
      <c r="U50" s="1450"/>
      <c r="V50" s="1450">
        <f t="shared" si="5"/>
        <v>-4230400</v>
      </c>
      <c r="W50" s="1459"/>
      <c r="X50" s="1459"/>
      <c r="Y50" s="1459"/>
      <c r="Z50" s="1459"/>
      <c r="AA50" s="1459"/>
      <c r="AB50" s="1459"/>
      <c r="AC50" s="1459"/>
      <c r="AD50" s="1459"/>
      <c r="AE50" s="1459"/>
      <c r="AF50" s="1459"/>
      <c r="AG50" s="1459"/>
      <c r="AH50" s="1459"/>
      <c r="AI50" s="1459"/>
      <c r="AJ50" s="1459"/>
      <c r="AK50" s="1459"/>
      <c r="AL50" s="1459"/>
      <c r="AM50" s="1459"/>
      <c r="AN50" s="1459"/>
      <c r="AO50" s="1459"/>
      <c r="AP50" s="1459"/>
      <c r="AQ50" s="1459"/>
      <c r="AR50" s="1459"/>
      <c r="AS50" s="1459"/>
      <c r="AT50" s="1459"/>
      <c r="AU50" s="1459"/>
    </row>
    <row r="51" spans="1:47" s="1036" customFormat="1" ht="47.25">
      <c r="A51" s="1033" t="s">
        <v>436</v>
      </c>
      <c r="B51" s="1033"/>
      <c r="C51" s="1033"/>
      <c r="D51" s="1024" t="s">
        <v>295</v>
      </c>
      <c r="E51" s="1199">
        <f>SUM(E53:E75)</f>
        <v>1130429781.05</v>
      </c>
      <c r="F51" s="1199">
        <f t="shared" ref="F51:Q51" si="18">SUM(F53:F75)</f>
        <v>1130429781.05</v>
      </c>
      <c r="G51" s="1199">
        <f t="shared" si="18"/>
        <v>0</v>
      </c>
      <c r="H51" s="1199">
        <f t="shared" si="18"/>
        <v>0</v>
      </c>
      <c r="I51" s="1199">
        <f t="shared" si="18"/>
        <v>0</v>
      </c>
      <c r="J51" s="1199">
        <f t="shared" si="18"/>
        <v>127343525</v>
      </c>
      <c r="K51" s="1199">
        <f t="shared" si="18"/>
        <v>95159093</v>
      </c>
      <c r="L51" s="1199">
        <f t="shared" si="18"/>
        <v>0</v>
      </c>
      <c r="M51" s="1199">
        <f t="shared" si="18"/>
        <v>0</v>
      </c>
      <c r="N51" s="1199">
        <f t="shared" si="18"/>
        <v>32184432</v>
      </c>
      <c r="O51" s="1199">
        <f t="shared" si="18"/>
        <v>27954032</v>
      </c>
      <c r="P51" s="1199">
        <f t="shared" si="18"/>
        <v>27914032</v>
      </c>
      <c r="Q51" s="1199">
        <f t="shared" si="18"/>
        <v>1257773306.05</v>
      </c>
      <c r="R51" s="1482">
        <f t="shared" si="1"/>
        <v>1257773306.05</v>
      </c>
      <c r="S51" s="1455">
        <f t="shared" si="4"/>
        <v>0</v>
      </c>
      <c r="T51" s="1450">
        <f t="shared" si="2"/>
        <v>-40000</v>
      </c>
      <c r="U51" s="1450"/>
      <c r="V51" s="1450">
        <f t="shared" si="5"/>
        <v>-4230400</v>
      </c>
      <c r="W51" s="1455"/>
      <c r="X51" s="1459"/>
      <c r="Y51" s="1459"/>
      <c r="Z51" s="1459"/>
      <c r="AA51" s="1459"/>
      <c r="AB51" s="1459"/>
      <c r="AC51" s="1459"/>
      <c r="AD51" s="1459"/>
      <c r="AE51" s="1459"/>
      <c r="AF51" s="1459"/>
      <c r="AG51" s="1459"/>
      <c r="AH51" s="1459"/>
      <c r="AI51" s="1459"/>
      <c r="AJ51" s="1459"/>
      <c r="AK51" s="1459"/>
      <c r="AL51" s="1459"/>
      <c r="AM51" s="1459"/>
      <c r="AN51" s="1459"/>
      <c r="AO51" s="1459"/>
      <c r="AP51" s="1459"/>
      <c r="AQ51" s="1459"/>
      <c r="AR51" s="1459"/>
      <c r="AS51" s="1459"/>
      <c r="AT51" s="1459"/>
      <c r="AU51" s="1459"/>
    </row>
    <row r="52" spans="1:47" s="1036" customFormat="1" ht="15.75" hidden="1">
      <c r="A52" s="1033"/>
      <c r="B52" s="1033"/>
      <c r="C52" s="1033"/>
      <c r="D52" s="1024"/>
      <c r="E52" s="1199">
        <f>E51-E53-E54-E55-E70</f>
        <v>1069520481.05</v>
      </c>
      <c r="F52" s="1199">
        <f t="shared" ref="F52:Q52" si="19">F51-F53-F54-F55-F70</f>
        <v>1069520481.05</v>
      </c>
      <c r="G52" s="1199">
        <f t="shared" si="19"/>
        <v>0</v>
      </c>
      <c r="H52" s="1199">
        <f t="shared" si="19"/>
        <v>0</v>
      </c>
      <c r="I52" s="1199">
        <f t="shared" si="19"/>
        <v>0</v>
      </c>
      <c r="J52" s="1199">
        <f t="shared" si="19"/>
        <v>54836025</v>
      </c>
      <c r="K52" s="1199">
        <f t="shared" si="19"/>
        <v>23881593</v>
      </c>
      <c r="L52" s="1199">
        <f t="shared" si="19"/>
        <v>0</v>
      </c>
      <c r="M52" s="1199">
        <f t="shared" si="19"/>
        <v>0</v>
      </c>
      <c r="N52" s="1199">
        <f t="shared" si="19"/>
        <v>30954432</v>
      </c>
      <c r="O52" s="1199">
        <f t="shared" si="19"/>
        <v>27899032</v>
      </c>
      <c r="P52" s="1199">
        <f t="shared" si="19"/>
        <v>27859032</v>
      </c>
      <c r="Q52" s="1199">
        <f t="shared" si="19"/>
        <v>1124356506.05</v>
      </c>
      <c r="R52" s="1481">
        <f t="shared" si="1"/>
        <v>1124356506.05</v>
      </c>
      <c r="S52" s="1035"/>
      <c r="T52" s="1006">
        <f t="shared" si="2"/>
        <v>-40000</v>
      </c>
      <c r="U52" s="1006"/>
      <c r="V52" s="1006">
        <f t="shared" si="5"/>
        <v>-3055400</v>
      </c>
      <c r="W52" s="1035"/>
    </row>
    <row r="53" spans="1:47" ht="47.25">
      <c r="A53" s="1015" t="s">
        <v>437</v>
      </c>
      <c r="B53" s="1015" t="s">
        <v>20</v>
      </c>
      <c r="C53" s="1015" t="s">
        <v>21</v>
      </c>
      <c r="D53" s="1022" t="s">
        <v>421</v>
      </c>
      <c r="E53" s="1202">
        <f t="shared" ref="E53:E75" si="20">F53+I53</f>
        <v>51492500</v>
      </c>
      <c r="F53" s="1202">
        <v>51492500</v>
      </c>
      <c r="G53" s="1202"/>
      <c r="H53" s="1202"/>
      <c r="I53" s="1202"/>
      <c r="J53" s="1202">
        <f t="shared" ref="J53:J60" si="21">+K53+N53</f>
        <v>64155300</v>
      </c>
      <c r="K53" s="1202">
        <v>62950300</v>
      </c>
      <c r="L53" s="1202"/>
      <c r="M53" s="1202"/>
      <c r="N53" s="1202">
        <f>1150000+55000</f>
        <v>1205000</v>
      </c>
      <c r="O53" s="1202">
        <v>55000</v>
      </c>
      <c r="P53" s="1202">
        <v>55000</v>
      </c>
      <c r="Q53" s="1202">
        <f t="shared" ref="Q53:Q65" si="22">+J53+E53</f>
        <v>115647800</v>
      </c>
      <c r="R53" s="1482">
        <f t="shared" si="1"/>
        <v>115647800</v>
      </c>
      <c r="S53" s="1455">
        <f t="shared" si="4"/>
        <v>0</v>
      </c>
      <c r="T53" s="1450">
        <f t="shared" si="2"/>
        <v>0</v>
      </c>
      <c r="U53" s="1450"/>
      <c r="V53" s="1450">
        <f t="shared" si="5"/>
        <v>-1150000</v>
      </c>
      <c r="W53" s="1449"/>
      <c r="X53" s="1449"/>
      <c r="Y53" s="1449"/>
      <c r="Z53" s="1449"/>
      <c r="AA53" s="1449"/>
      <c r="AB53" s="1449"/>
      <c r="AC53" s="1449"/>
      <c r="AD53" s="1449"/>
      <c r="AE53" s="1449"/>
      <c r="AF53" s="1449"/>
      <c r="AG53" s="1449"/>
      <c r="AH53" s="1449"/>
      <c r="AI53" s="1449"/>
      <c r="AJ53" s="1449"/>
      <c r="AK53" s="1449"/>
      <c r="AL53" s="1449"/>
      <c r="AM53" s="1449"/>
      <c r="AN53" s="1449"/>
      <c r="AO53" s="1449"/>
      <c r="AP53" s="1449"/>
      <c r="AQ53" s="1449"/>
      <c r="AR53" s="1449"/>
      <c r="AS53" s="1449"/>
      <c r="AT53" s="1449"/>
      <c r="AU53" s="1449"/>
    </row>
    <row r="54" spans="1:47" ht="47.25">
      <c r="A54" s="1015" t="s">
        <v>637</v>
      </c>
      <c r="B54" s="1015" t="s">
        <v>638</v>
      </c>
      <c r="C54" s="1015" t="s">
        <v>639</v>
      </c>
      <c r="D54" s="1022" t="s">
        <v>640</v>
      </c>
      <c r="E54" s="1202">
        <f t="shared" si="20"/>
        <v>7689700</v>
      </c>
      <c r="F54" s="1202">
        <v>7689700</v>
      </c>
      <c r="G54" s="1202"/>
      <c r="H54" s="1202"/>
      <c r="I54" s="1202"/>
      <c r="J54" s="1202">
        <f t="shared" si="21"/>
        <v>7868100</v>
      </c>
      <c r="K54" s="1202">
        <v>7843100</v>
      </c>
      <c r="L54" s="1202"/>
      <c r="M54" s="1202"/>
      <c r="N54" s="1202">
        <v>25000</v>
      </c>
      <c r="O54" s="1202"/>
      <c r="P54" s="1202"/>
      <c r="Q54" s="1202">
        <f t="shared" si="22"/>
        <v>15557800</v>
      </c>
      <c r="R54" s="1482">
        <f t="shared" si="1"/>
        <v>15557800</v>
      </c>
      <c r="S54" s="1455">
        <f t="shared" si="4"/>
        <v>0</v>
      </c>
      <c r="T54" s="1450">
        <f t="shared" si="2"/>
        <v>0</v>
      </c>
      <c r="U54" s="1450"/>
      <c r="V54" s="1450">
        <f t="shared" si="5"/>
        <v>-25000</v>
      </c>
      <c r="W54" s="1449"/>
      <c r="X54" s="1449"/>
      <c r="Y54" s="1449"/>
      <c r="Z54" s="1449"/>
      <c r="AA54" s="1449"/>
      <c r="AB54" s="1449"/>
      <c r="AC54" s="1449"/>
      <c r="AD54" s="1449"/>
      <c r="AE54" s="1449"/>
      <c r="AF54" s="1449"/>
      <c r="AG54" s="1449"/>
      <c r="AH54" s="1449"/>
      <c r="AI54" s="1449"/>
      <c r="AJ54" s="1449"/>
      <c r="AK54" s="1449"/>
      <c r="AL54" s="1449"/>
      <c r="AM54" s="1449"/>
      <c r="AN54" s="1449"/>
      <c r="AO54" s="1449"/>
      <c r="AP54" s="1449"/>
      <c r="AQ54" s="1449"/>
      <c r="AR54" s="1449"/>
      <c r="AS54" s="1449"/>
      <c r="AT54" s="1449"/>
      <c r="AU54" s="1449"/>
    </row>
    <row r="55" spans="1:47" ht="31.5">
      <c r="A55" s="1015" t="s">
        <v>445</v>
      </c>
      <c r="B55" s="1015" t="s">
        <v>8</v>
      </c>
      <c r="C55" s="1015" t="s">
        <v>9</v>
      </c>
      <c r="D55" s="1022" t="s">
        <v>403</v>
      </c>
      <c r="E55" s="1202">
        <f t="shared" si="20"/>
        <v>1727100</v>
      </c>
      <c r="F55" s="1202">
        <v>1727100</v>
      </c>
      <c r="G55" s="1202"/>
      <c r="H55" s="1202"/>
      <c r="I55" s="1202"/>
      <c r="J55" s="1202">
        <f t="shared" si="21"/>
        <v>484100</v>
      </c>
      <c r="K55" s="1202">
        <v>484100</v>
      </c>
      <c r="L55" s="1202"/>
      <c r="M55" s="1202"/>
      <c r="N55" s="1202"/>
      <c r="O55" s="1202"/>
      <c r="P55" s="1202"/>
      <c r="Q55" s="1202">
        <f t="shared" si="22"/>
        <v>2211200</v>
      </c>
      <c r="R55" s="1482">
        <f t="shared" si="1"/>
        <v>2211200</v>
      </c>
      <c r="S55" s="1455">
        <f t="shared" si="4"/>
        <v>0</v>
      </c>
      <c r="T55" s="1450">
        <f t="shared" si="2"/>
        <v>0</v>
      </c>
      <c r="U55" s="1450"/>
      <c r="V55" s="1450">
        <f t="shared" si="5"/>
        <v>0</v>
      </c>
      <c r="W55" s="1449"/>
      <c r="X55" s="1449"/>
      <c r="Y55" s="1449"/>
      <c r="Z55" s="1449"/>
      <c r="AA55" s="1449"/>
      <c r="AB55" s="1449"/>
      <c r="AC55" s="1449"/>
      <c r="AD55" s="1449"/>
      <c r="AE55" s="1449"/>
      <c r="AF55" s="1449"/>
      <c r="AG55" s="1449"/>
      <c r="AH55" s="1449"/>
      <c r="AI55" s="1449"/>
      <c r="AJ55" s="1449"/>
      <c r="AK55" s="1449"/>
      <c r="AL55" s="1449"/>
      <c r="AM55" s="1449"/>
      <c r="AN55" s="1449"/>
      <c r="AO55" s="1449"/>
      <c r="AP55" s="1449"/>
      <c r="AQ55" s="1449"/>
      <c r="AR55" s="1449"/>
      <c r="AS55" s="1449"/>
      <c r="AT55" s="1449"/>
      <c r="AU55" s="1449"/>
    </row>
    <row r="56" spans="1:47" ht="31.5">
      <c r="A56" s="1015" t="s">
        <v>438</v>
      </c>
      <c r="B56" s="1015" t="s">
        <v>70</v>
      </c>
      <c r="C56" s="1015" t="s">
        <v>123</v>
      </c>
      <c r="D56" s="1022" t="s">
        <v>71</v>
      </c>
      <c r="E56" s="1202">
        <f t="shared" si="20"/>
        <v>289867759.23000002</v>
      </c>
      <c r="F56" s="1202">
        <v>289867759.23000002</v>
      </c>
      <c r="G56" s="1202"/>
      <c r="H56" s="1202"/>
      <c r="I56" s="1202"/>
      <c r="J56" s="1202">
        <f t="shared" si="21"/>
        <v>3358897</v>
      </c>
      <c r="K56" s="1202">
        <v>2253265</v>
      </c>
      <c r="L56" s="1202"/>
      <c r="M56" s="1202"/>
      <c r="N56" s="1202">
        <v>1105632</v>
      </c>
      <c r="O56" s="1202">
        <v>1105632</v>
      </c>
      <c r="P56" s="1202">
        <v>1105632</v>
      </c>
      <c r="Q56" s="1202">
        <f t="shared" si="22"/>
        <v>293226656.23000002</v>
      </c>
      <c r="R56" s="1482">
        <f t="shared" si="1"/>
        <v>293226656.23000002</v>
      </c>
      <c r="S56" s="1455"/>
      <c r="T56" s="1450">
        <f t="shared" si="2"/>
        <v>0</v>
      </c>
      <c r="U56" s="1450"/>
      <c r="V56" s="1450">
        <f t="shared" si="5"/>
        <v>0</v>
      </c>
      <c r="W56" s="1449"/>
      <c r="X56" s="1449"/>
      <c r="Y56" s="1449"/>
      <c r="Z56" s="1449"/>
      <c r="AA56" s="1449"/>
      <c r="AB56" s="1449"/>
      <c r="AC56" s="1449"/>
      <c r="AD56" s="1449"/>
      <c r="AE56" s="1449"/>
      <c r="AF56" s="1449"/>
      <c r="AG56" s="1449"/>
      <c r="AH56" s="1449"/>
      <c r="AI56" s="1449"/>
      <c r="AJ56" s="1449"/>
      <c r="AK56" s="1449"/>
      <c r="AL56" s="1449"/>
      <c r="AM56" s="1449"/>
      <c r="AN56" s="1449"/>
      <c r="AO56" s="1449"/>
      <c r="AP56" s="1449"/>
      <c r="AQ56" s="1449"/>
      <c r="AR56" s="1449"/>
      <c r="AS56" s="1449"/>
      <c r="AT56" s="1449"/>
      <c r="AU56" s="1449"/>
    </row>
    <row r="57" spans="1:47" ht="31.5">
      <c r="A57" s="1015" t="s">
        <v>446</v>
      </c>
      <c r="B57" s="1015" t="s">
        <v>447</v>
      </c>
      <c r="C57" s="1015" t="s">
        <v>73</v>
      </c>
      <c r="D57" s="1022" t="s">
        <v>122</v>
      </c>
      <c r="E57" s="1202">
        <f t="shared" si="20"/>
        <v>273326364</v>
      </c>
      <c r="F57" s="1202">
        <v>273326364</v>
      </c>
      <c r="G57" s="1202"/>
      <c r="H57" s="1202"/>
      <c r="I57" s="1202"/>
      <c r="J57" s="1202">
        <f t="shared" si="21"/>
        <v>4398618</v>
      </c>
      <c r="K57" s="1202">
        <v>2816918</v>
      </c>
      <c r="L57" s="1202"/>
      <c r="M57" s="1202"/>
      <c r="N57" s="1202">
        <f>26700+1235000+320000</f>
        <v>1581700</v>
      </c>
      <c r="O57" s="1202">
        <f>1235000+320000</f>
        <v>1555000</v>
      </c>
      <c r="P57" s="1202">
        <f>1235000+320000</f>
        <v>1555000</v>
      </c>
      <c r="Q57" s="1202">
        <f t="shared" si="22"/>
        <v>277724982</v>
      </c>
      <c r="R57" s="1482">
        <f t="shared" si="1"/>
        <v>277724982</v>
      </c>
      <c r="S57" s="1455">
        <f t="shared" si="4"/>
        <v>0</v>
      </c>
      <c r="T57" s="1450">
        <f t="shared" si="2"/>
        <v>0</v>
      </c>
      <c r="U57" s="1450"/>
      <c r="V57" s="1450">
        <f t="shared" si="5"/>
        <v>-26700</v>
      </c>
      <c r="W57" s="1449"/>
      <c r="X57" s="1449"/>
      <c r="Y57" s="1449"/>
      <c r="Z57" s="1449"/>
      <c r="AA57" s="1449"/>
      <c r="AB57" s="1449"/>
      <c r="AC57" s="1449"/>
      <c r="AD57" s="1449"/>
      <c r="AE57" s="1449"/>
      <c r="AF57" s="1449"/>
      <c r="AG57" s="1449"/>
      <c r="AH57" s="1449"/>
      <c r="AI57" s="1449"/>
      <c r="AJ57" s="1449"/>
      <c r="AK57" s="1449"/>
      <c r="AL57" s="1449"/>
      <c r="AM57" s="1449"/>
      <c r="AN57" s="1449"/>
      <c r="AO57" s="1449"/>
      <c r="AP57" s="1449"/>
      <c r="AQ57" s="1449"/>
      <c r="AR57" s="1449"/>
      <c r="AS57" s="1449"/>
      <c r="AT57" s="1449"/>
      <c r="AU57" s="1449"/>
    </row>
    <row r="58" spans="1:47" ht="31.5">
      <c r="A58" s="1015" t="s">
        <v>439</v>
      </c>
      <c r="B58" s="1015" t="s">
        <v>72</v>
      </c>
      <c r="C58" s="1015" t="s">
        <v>124</v>
      </c>
      <c r="D58" s="1022" t="s">
        <v>226</v>
      </c>
      <c r="E58" s="1202">
        <f t="shared" si="20"/>
        <v>45167381</v>
      </c>
      <c r="F58" s="1202">
        <v>45167381</v>
      </c>
      <c r="G58" s="1202"/>
      <c r="H58" s="1202"/>
      <c r="I58" s="1202"/>
      <c r="J58" s="1202">
        <f t="shared" si="21"/>
        <v>240000</v>
      </c>
      <c r="K58" s="1202"/>
      <c r="L58" s="1202"/>
      <c r="M58" s="1202"/>
      <c r="N58" s="1202">
        <v>240000</v>
      </c>
      <c r="O58" s="1202">
        <v>240000</v>
      </c>
      <c r="P58" s="1202">
        <v>240000</v>
      </c>
      <c r="Q58" s="1202">
        <f t="shared" si="22"/>
        <v>45407381</v>
      </c>
      <c r="R58" s="1482">
        <f t="shared" si="1"/>
        <v>45407381</v>
      </c>
      <c r="S58" s="1455">
        <f t="shared" si="4"/>
        <v>0</v>
      </c>
      <c r="T58" s="1450">
        <f t="shared" si="2"/>
        <v>0</v>
      </c>
      <c r="U58" s="1450"/>
      <c r="V58" s="1450">
        <f t="shared" si="5"/>
        <v>0</v>
      </c>
      <c r="W58" s="1449"/>
      <c r="X58" s="1449"/>
      <c r="Y58" s="1449"/>
      <c r="Z58" s="1449"/>
      <c r="AA58" s="1449"/>
      <c r="AB58" s="1449"/>
      <c r="AC58" s="1449"/>
      <c r="AD58" s="1449"/>
      <c r="AE58" s="1449"/>
      <c r="AF58" s="1449"/>
      <c r="AG58" s="1449"/>
      <c r="AH58" s="1449"/>
      <c r="AI58" s="1449"/>
      <c r="AJ58" s="1449"/>
      <c r="AK58" s="1449"/>
      <c r="AL58" s="1449"/>
      <c r="AM58" s="1449"/>
      <c r="AN58" s="1449"/>
      <c r="AO58" s="1449"/>
      <c r="AP58" s="1449"/>
      <c r="AQ58" s="1449"/>
      <c r="AR58" s="1449"/>
      <c r="AS58" s="1449"/>
      <c r="AT58" s="1449"/>
      <c r="AU58" s="1449"/>
    </row>
    <row r="59" spans="1:47" ht="15.75">
      <c r="A59" s="1015" t="s">
        <v>475</v>
      </c>
      <c r="B59" s="1015" t="s">
        <v>476</v>
      </c>
      <c r="C59" s="1015" t="s">
        <v>126</v>
      </c>
      <c r="D59" s="1022" t="s">
        <v>477</v>
      </c>
      <c r="E59" s="1202">
        <f t="shared" si="20"/>
        <v>44741600</v>
      </c>
      <c r="F59" s="1202">
        <v>44741600</v>
      </c>
      <c r="G59" s="1202"/>
      <c r="H59" s="1202"/>
      <c r="I59" s="1202"/>
      <c r="J59" s="1202">
        <f t="shared" si="21"/>
        <v>204000</v>
      </c>
      <c r="K59" s="1202">
        <v>4000</v>
      </c>
      <c r="L59" s="1202"/>
      <c r="M59" s="1202"/>
      <c r="N59" s="1202">
        <v>200000</v>
      </c>
      <c r="O59" s="1202">
        <v>200000</v>
      </c>
      <c r="P59" s="1202">
        <v>200000</v>
      </c>
      <c r="Q59" s="1202">
        <f t="shared" si="22"/>
        <v>44945600</v>
      </c>
      <c r="R59" s="1482">
        <f t="shared" si="1"/>
        <v>44945600</v>
      </c>
      <c r="S59" s="1455">
        <f t="shared" si="4"/>
        <v>0</v>
      </c>
      <c r="T59" s="1450">
        <f t="shared" si="2"/>
        <v>0</v>
      </c>
      <c r="U59" s="1450"/>
      <c r="V59" s="1450">
        <f t="shared" si="5"/>
        <v>0</v>
      </c>
      <c r="W59" s="1449"/>
      <c r="X59" s="1449"/>
      <c r="Y59" s="1449"/>
      <c r="Z59" s="1449"/>
      <c r="AA59" s="1449"/>
      <c r="AB59" s="1449"/>
      <c r="AC59" s="1449"/>
      <c r="AD59" s="1449"/>
      <c r="AE59" s="1449"/>
      <c r="AF59" s="1449"/>
      <c r="AG59" s="1449"/>
      <c r="AH59" s="1449"/>
      <c r="AI59" s="1449"/>
      <c r="AJ59" s="1449"/>
      <c r="AK59" s="1449"/>
      <c r="AL59" s="1449"/>
      <c r="AM59" s="1449"/>
      <c r="AN59" s="1449"/>
      <c r="AO59" s="1449"/>
      <c r="AP59" s="1449"/>
      <c r="AQ59" s="1449"/>
      <c r="AR59" s="1449"/>
      <c r="AS59" s="1449"/>
      <c r="AT59" s="1449"/>
      <c r="AU59" s="1449"/>
    </row>
    <row r="60" spans="1:47" ht="39.6" customHeight="1">
      <c r="A60" s="1015" t="s">
        <v>440</v>
      </c>
      <c r="B60" s="1015" t="s">
        <v>74</v>
      </c>
      <c r="C60" s="1015" t="s">
        <v>128</v>
      </c>
      <c r="D60" s="1022" t="s">
        <v>129</v>
      </c>
      <c r="E60" s="1202">
        <f t="shared" si="20"/>
        <v>34022000</v>
      </c>
      <c r="F60" s="1202">
        <v>34022000</v>
      </c>
      <c r="G60" s="1202"/>
      <c r="H60" s="1202"/>
      <c r="I60" s="1202"/>
      <c r="J60" s="1202">
        <f t="shared" si="21"/>
        <v>270000</v>
      </c>
      <c r="K60" s="1202"/>
      <c r="L60" s="1202"/>
      <c r="M60" s="1202"/>
      <c r="N60" s="1202">
        <v>270000</v>
      </c>
      <c r="O60" s="1202">
        <v>270000</v>
      </c>
      <c r="P60" s="1202">
        <v>270000</v>
      </c>
      <c r="Q60" s="1202">
        <f t="shared" si="22"/>
        <v>34292000</v>
      </c>
      <c r="R60" s="1482">
        <f t="shared" si="1"/>
        <v>34292000</v>
      </c>
      <c r="S60" s="1455">
        <f t="shared" si="4"/>
        <v>0</v>
      </c>
      <c r="T60" s="1450">
        <f t="shared" si="2"/>
        <v>0</v>
      </c>
      <c r="U60" s="1450"/>
      <c r="V60" s="1450">
        <f t="shared" si="5"/>
        <v>0</v>
      </c>
      <c r="W60" s="1449"/>
      <c r="X60" s="1449"/>
      <c r="Y60" s="1449"/>
      <c r="Z60" s="1449"/>
      <c r="AA60" s="1449"/>
      <c r="AB60" s="1449"/>
      <c r="AC60" s="1449"/>
      <c r="AD60" s="1449"/>
      <c r="AE60" s="1449"/>
      <c r="AF60" s="1449"/>
      <c r="AG60" s="1449"/>
      <c r="AH60" s="1449"/>
      <c r="AI60" s="1449"/>
      <c r="AJ60" s="1449"/>
      <c r="AK60" s="1449"/>
      <c r="AL60" s="1449"/>
      <c r="AM60" s="1449"/>
      <c r="AN60" s="1449"/>
      <c r="AO60" s="1449"/>
      <c r="AP60" s="1449"/>
      <c r="AQ60" s="1449"/>
      <c r="AR60" s="1449"/>
      <c r="AS60" s="1449"/>
      <c r="AT60" s="1449"/>
      <c r="AU60" s="1449"/>
    </row>
    <row r="61" spans="1:47" ht="15.75">
      <c r="A61" s="1015" t="s">
        <v>441</v>
      </c>
      <c r="B61" s="1015" t="s">
        <v>125</v>
      </c>
      <c r="C61" s="1015" t="s">
        <v>131</v>
      </c>
      <c r="D61" s="1022" t="s">
        <v>132</v>
      </c>
      <c r="E61" s="1202">
        <f t="shared" si="20"/>
        <v>11863300</v>
      </c>
      <c r="F61" s="1202">
        <v>11863300</v>
      </c>
      <c r="G61" s="1202"/>
      <c r="H61" s="1202"/>
      <c r="I61" s="1202"/>
      <c r="J61" s="1202">
        <f t="shared" ref="J61:J75" si="23">+K61+N61</f>
        <v>1039000</v>
      </c>
      <c r="K61" s="1202">
        <v>1009000</v>
      </c>
      <c r="L61" s="1202"/>
      <c r="M61" s="1202"/>
      <c r="N61" s="1202">
        <v>30000</v>
      </c>
      <c r="O61" s="1202"/>
      <c r="P61" s="1202"/>
      <c r="Q61" s="1202">
        <f t="shared" si="22"/>
        <v>12902300</v>
      </c>
      <c r="R61" s="1482">
        <f t="shared" si="1"/>
        <v>12902300</v>
      </c>
      <c r="S61" s="1455">
        <f t="shared" si="4"/>
        <v>0</v>
      </c>
      <c r="T61" s="1450">
        <f t="shared" si="2"/>
        <v>0</v>
      </c>
      <c r="U61" s="1450"/>
      <c r="V61" s="1450">
        <f t="shared" si="5"/>
        <v>-30000</v>
      </c>
      <c r="W61" s="1449"/>
      <c r="X61" s="1449"/>
      <c r="Y61" s="1449"/>
      <c r="Z61" s="1449"/>
      <c r="AA61" s="1449"/>
      <c r="AB61" s="1449"/>
      <c r="AC61" s="1449"/>
      <c r="AD61" s="1449"/>
      <c r="AE61" s="1449"/>
      <c r="AF61" s="1449"/>
      <c r="AG61" s="1449"/>
      <c r="AH61" s="1449"/>
      <c r="AI61" s="1449"/>
      <c r="AJ61" s="1449"/>
      <c r="AK61" s="1449"/>
      <c r="AL61" s="1449"/>
      <c r="AM61" s="1449"/>
      <c r="AN61" s="1449"/>
      <c r="AO61" s="1449"/>
      <c r="AP61" s="1449"/>
      <c r="AQ61" s="1449"/>
      <c r="AR61" s="1449"/>
      <c r="AS61" s="1449"/>
      <c r="AT61" s="1449"/>
      <c r="AU61" s="1449"/>
    </row>
    <row r="62" spans="1:47" ht="31.5">
      <c r="A62" s="1015" t="s">
        <v>448</v>
      </c>
      <c r="B62" s="1015" t="s">
        <v>449</v>
      </c>
      <c r="C62" s="1015" t="s">
        <v>133</v>
      </c>
      <c r="D62" s="1022" t="s">
        <v>780</v>
      </c>
      <c r="E62" s="1202">
        <f t="shared" si="20"/>
        <v>175498400</v>
      </c>
      <c r="F62" s="1202">
        <f>175428400+70000</f>
        <v>175498400</v>
      </c>
      <c r="G62" s="1202"/>
      <c r="H62" s="1202"/>
      <c r="I62" s="1202"/>
      <c r="J62" s="1202">
        <f t="shared" si="23"/>
        <v>245960</v>
      </c>
      <c r="K62" s="1202">
        <v>67960</v>
      </c>
      <c r="L62" s="1202"/>
      <c r="M62" s="1202"/>
      <c r="N62" s="1202">
        <f>248000-70000</f>
        <v>178000</v>
      </c>
      <c r="O62" s="1202">
        <f>248000-70000</f>
        <v>178000</v>
      </c>
      <c r="P62" s="1202">
        <v>138000</v>
      </c>
      <c r="Q62" s="1202">
        <f t="shared" si="22"/>
        <v>175744360</v>
      </c>
      <c r="R62" s="1482">
        <f t="shared" si="1"/>
        <v>175744360</v>
      </c>
      <c r="S62" s="1455">
        <f t="shared" si="4"/>
        <v>0</v>
      </c>
      <c r="T62" s="1450">
        <f t="shared" si="2"/>
        <v>-40000</v>
      </c>
      <c r="U62" s="1450"/>
      <c r="V62" s="1450">
        <f t="shared" si="5"/>
        <v>0</v>
      </c>
      <c r="W62" s="1449"/>
      <c r="X62" s="1449"/>
      <c r="Y62" s="1449"/>
      <c r="Z62" s="1449"/>
      <c r="AA62" s="1449"/>
      <c r="AB62" s="1449"/>
      <c r="AC62" s="1449"/>
      <c r="AD62" s="1449"/>
      <c r="AE62" s="1449"/>
      <c r="AF62" s="1449"/>
      <c r="AG62" s="1449"/>
      <c r="AH62" s="1449"/>
      <c r="AI62" s="1449"/>
      <c r="AJ62" s="1449"/>
      <c r="AK62" s="1449"/>
      <c r="AL62" s="1449"/>
      <c r="AM62" s="1449"/>
      <c r="AN62" s="1449"/>
      <c r="AO62" s="1449"/>
      <c r="AP62" s="1449"/>
      <c r="AQ62" s="1449"/>
      <c r="AR62" s="1449"/>
      <c r="AS62" s="1449"/>
      <c r="AT62" s="1449"/>
      <c r="AU62" s="1449"/>
    </row>
    <row r="63" spans="1:47" ht="31.5">
      <c r="A63" s="1015" t="s">
        <v>442</v>
      </c>
      <c r="B63" s="1015" t="s">
        <v>127</v>
      </c>
      <c r="C63" s="1015" t="s">
        <v>136</v>
      </c>
      <c r="D63" s="1022" t="s">
        <v>137</v>
      </c>
      <c r="E63" s="1202">
        <f t="shared" si="20"/>
        <v>73154875</v>
      </c>
      <c r="F63" s="1202">
        <v>73154875</v>
      </c>
      <c r="G63" s="1202"/>
      <c r="H63" s="1202"/>
      <c r="I63" s="1202"/>
      <c r="J63" s="1202">
        <f t="shared" si="23"/>
        <v>9848650</v>
      </c>
      <c r="K63" s="1202">
        <v>7574850</v>
      </c>
      <c r="L63" s="1202"/>
      <c r="M63" s="1202"/>
      <c r="N63" s="1202">
        <f>1998700+275100</f>
        <v>2273800</v>
      </c>
      <c r="O63" s="1202">
        <v>275100</v>
      </c>
      <c r="P63" s="1202">
        <v>275100</v>
      </c>
      <c r="Q63" s="1202">
        <f t="shared" si="22"/>
        <v>83003525</v>
      </c>
      <c r="R63" s="1482">
        <f t="shared" si="1"/>
        <v>83003525</v>
      </c>
      <c r="S63" s="1455">
        <f t="shared" si="4"/>
        <v>0</v>
      </c>
      <c r="T63" s="1450">
        <f t="shared" si="2"/>
        <v>0</v>
      </c>
      <c r="U63" s="1450"/>
      <c r="V63" s="1450">
        <f t="shared" si="5"/>
        <v>-1998700</v>
      </c>
      <c r="W63" s="1449"/>
      <c r="X63" s="1449"/>
      <c r="Y63" s="1449"/>
      <c r="Z63" s="1449"/>
      <c r="AA63" s="1449"/>
      <c r="AB63" s="1449"/>
      <c r="AC63" s="1449"/>
      <c r="AD63" s="1449"/>
      <c r="AE63" s="1449"/>
      <c r="AF63" s="1449"/>
      <c r="AG63" s="1449"/>
      <c r="AH63" s="1449"/>
      <c r="AI63" s="1449"/>
      <c r="AJ63" s="1449"/>
      <c r="AK63" s="1449"/>
      <c r="AL63" s="1449"/>
      <c r="AM63" s="1449"/>
      <c r="AN63" s="1449"/>
      <c r="AO63" s="1449"/>
      <c r="AP63" s="1449"/>
      <c r="AQ63" s="1449"/>
      <c r="AR63" s="1449"/>
      <c r="AS63" s="1449"/>
      <c r="AT63" s="1449"/>
      <c r="AU63" s="1449"/>
    </row>
    <row r="64" spans="1:47" ht="15.75">
      <c r="A64" s="1015" t="s">
        <v>443</v>
      </c>
      <c r="B64" s="1015" t="s">
        <v>130</v>
      </c>
      <c r="C64" s="1015" t="s">
        <v>136</v>
      </c>
      <c r="D64" s="1022" t="s">
        <v>450</v>
      </c>
      <c r="E64" s="1202">
        <f t="shared" si="20"/>
        <v>8673500</v>
      </c>
      <c r="F64" s="1202">
        <v>8673500</v>
      </c>
      <c r="G64" s="1202"/>
      <c r="H64" s="1202"/>
      <c r="I64" s="1202"/>
      <c r="J64" s="1202">
        <f t="shared" si="23"/>
        <v>10665600</v>
      </c>
      <c r="K64" s="1202">
        <v>9605600</v>
      </c>
      <c r="L64" s="1202"/>
      <c r="M64" s="1202"/>
      <c r="N64" s="1202">
        <f>1000000+60000</f>
        <v>1060000</v>
      </c>
      <c r="O64" s="1202">
        <v>60000</v>
      </c>
      <c r="P64" s="1202">
        <v>60000</v>
      </c>
      <c r="Q64" s="1202">
        <f t="shared" si="22"/>
        <v>19339100</v>
      </c>
      <c r="R64" s="1482">
        <f t="shared" si="1"/>
        <v>19339100</v>
      </c>
      <c r="S64" s="1455">
        <f t="shared" si="4"/>
        <v>0</v>
      </c>
      <c r="T64" s="1450">
        <f t="shared" si="2"/>
        <v>0</v>
      </c>
      <c r="U64" s="1450"/>
      <c r="V64" s="1450">
        <f t="shared" si="5"/>
        <v>-1000000</v>
      </c>
      <c r="W64" s="1449"/>
      <c r="X64" s="1449"/>
      <c r="Y64" s="1449"/>
      <c r="Z64" s="1449"/>
      <c r="AA64" s="1449"/>
      <c r="AB64" s="1449"/>
      <c r="AC64" s="1449"/>
      <c r="AD64" s="1449"/>
      <c r="AE64" s="1449"/>
      <c r="AF64" s="1449"/>
      <c r="AG64" s="1449"/>
      <c r="AH64" s="1449"/>
      <c r="AI64" s="1449"/>
      <c r="AJ64" s="1449"/>
      <c r="AK64" s="1449"/>
      <c r="AL64" s="1449"/>
      <c r="AM64" s="1449"/>
      <c r="AN64" s="1449"/>
      <c r="AO64" s="1449"/>
      <c r="AP64" s="1449"/>
      <c r="AQ64" s="1449"/>
      <c r="AR64" s="1449"/>
      <c r="AS64" s="1449"/>
      <c r="AT64" s="1449"/>
      <c r="AU64" s="1449"/>
    </row>
    <row r="65" spans="1:47" ht="31.5">
      <c r="A65" s="1015" t="s">
        <v>444</v>
      </c>
      <c r="B65" s="1015" t="s">
        <v>135</v>
      </c>
      <c r="C65" s="1015" t="s">
        <v>156</v>
      </c>
      <c r="D65" s="1022" t="s">
        <v>157</v>
      </c>
      <c r="E65" s="1202">
        <f t="shared" si="20"/>
        <v>11725200</v>
      </c>
      <c r="F65" s="1202">
        <v>11725200</v>
      </c>
      <c r="G65" s="1202"/>
      <c r="H65" s="1202"/>
      <c r="I65" s="1202"/>
      <c r="J65" s="1202">
        <f t="shared" si="23"/>
        <v>0</v>
      </c>
      <c r="K65" s="1202"/>
      <c r="L65" s="1202"/>
      <c r="M65" s="1202"/>
      <c r="N65" s="1202"/>
      <c r="O65" s="1202"/>
      <c r="P65" s="1202"/>
      <c r="Q65" s="1202">
        <f t="shared" si="22"/>
        <v>11725200</v>
      </c>
      <c r="R65" s="1482">
        <f t="shared" si="1"/>
        <v>11725200</v>
      </c>
      <c r="S65" s="1455">
        <f t="shared" si="4"/>
        <v>0</v>
      </c>
      <c r="T65" s="1450">
        <f t="shared" si="2"/>
        <v>0</v>
      </c>
      <c r="U65" s="1450"/>
      <c r="V65" s="1450">
        <f t="shared" si="5"/>
        <v>0</v>
      </c>
      <c r="W65" s="1449"/>
      <c r="X65" s="1449"/>
      <c r="Y65" s="1449"/>
      <c r="Z65" s="1449"/>
      <c r="AA65" s="1449"/>
      <c r="AB65" s="1449"/>
      <c r="AC65" s="1449"/>
      <c r="AD65" s="1449"/>
      <c r="AE65" s="1449"/>
      <c r="AF65" s="1449"/>
      <c r="AG65" s="1449"/>
      <c r="AH65" s="1449"/>
      <c r="AI65" s="1449"/>
      <c r="AJ65" s="1449"/>
      <c r="AK65" s="1449"/>
      <c r="AL65" s="1449"/>
      <c r="AM65" s="1449"/>
      <c r="AN65" s="1449"/>
      <c r="AO65" s="1449"/>
      <c r="AP65" s="1449"/>
      <c r="AQ65" s="1449"/>
      <c r="AR65" s="1449"/>
      <c r="AS65" s="1449"/>
      <c r="AT65" s="1449"/>
      <c r="AU65" s="1449"/>
    </row>
    <row r="66" spans="1:47" s="1041" customFormat="1" ht="31.5">
      <c r="A66" s="1017" t="s">
        <v>454</v>
      </c>
      <c r="B66" s="1017" t="s">
        <v>455</v>
      </c>
      <c r="C66" s="1038" t="s">
        <v>156</v>
      </c>
      <c r="D66" s="1039" t="s">
        <v>883</v>
      </c>
      <c r="E66" s="1203">
        <f>F66+I66</f>
        <v>867800</v>
      </c>
      <c r="F66" s="1204">
        <v>867800</v>
      </c>
      <c r="G66" s="1204"/>
      <c r="H66" s="1204"/>
      <c r="I66" s="1204"/>
      <c r="J66" s="1204">
        <f>+K66+N66</f>
        <v>0</v>
      </c>
      <c r="K66" s="1205"/>
      <c r="L66" s="1205"/>
      <c r="M66" s="1205"/>
      <c r="N66" s="1204"/>
      <c r="O66" s="1205"/>
      <c r="P66" s="1205"/>
      <c r="Q66" s="1204">
        <f>+J66+E66</f>
        <v>867800</v>
      </c>
      <c r="R66" s="1482">
        <f t="shared" si="1"/>
        <v>867800</v>
      </c>
      <c r="S66" s="1455">
        <f t="shared" si="4"/>
        <v>0</v>
      </c>
      <c r="T66" s="1450">
        <f t="shared" si="2"/>
        <v>0</v>
      </c>
      <c r="U66" s="1450"/>
      <c r="V66" s="1450">
        <f t="shared" si="5"/>
        <v>0</v>
      </c>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row>
    <row r="67" spans="1:47" s="294" customFormat="1" ht="46.9" hidden="1" customHeight="1">
      <c r="A67" s="293" t="s">
        <v>456</v>
      </c>
      <c r="B67" s="293" t="s">
        <v>457</v>
      </c>
      <c r="C67" s="296" t="s">
        <v>156</v>
      </c>
      <c r="D67" s="297" t="s">
        <v>458</v>
      </c>
      <c r="E67" s="1206">
        <f>F67+I67</f>
        <v>0</v>
      </c>
      <c r="F67" s="1207"/>
      <c r="G67" s="1207"/>
      <c r="H67" s="1207"/>
      <c r="I67" s="1207"/>
      <c r="J67" s="1207">
        <f>+K67+N67</f>
        <v>0</v>
      </c>
      <c r="K67" s="1208"/>
      <c r="L67" s="1208"/>
      <c r="M67" s="1208"/>
      <c r="N67" s="1207"/>
      <c r="O67" s="1208"/>
      <c r="P67" s="1208"/>
      <c r="Q67" s="1207">
        <f>+J67+E67</f>
        <v>0</v>
      </c>
      <c r="R67" s="1481">
        <f t="shared" si="1"/>
        <v>0</v>
      </c>
      <c r="S67" s="284">
        <f t="shared" si="4"/>
        <v>0</v>
      </c>
      <c r="T67" s="1006">
        <f t="shared" si="2"/>
        <v>0</v>
      </c>
      <c r="U67" s="536"/>
      <c r="V67" s="536">
        <f t="shared" si="5"/>
        <v>0</v>
      </c>
    </row>
    <row r="68" spans="1:47" s="1041" customFormat="1" ht="31.5">
      <c r="A68" s="1017" t="s">
        <v>451</v>
      </c>
      <c r="B68" s="1017" t="s">
        <v>452</v>
      </c>
      <c r="C68" s="1038" t="s">
        <v>156</v>
      </c>
      <c r="D68" s="1039" t="s">
        <v>453</v>
      </c>
      <c r="E68" s="1203">
        <f t="shared" si="20"/>
        <v>30569800</v>
      </c>
      <c r="F68" s="1204">
        <v>30569800</v>
      </c>
      <c r="G68" s="1204"/>
      <c r="H68" s="1204"/>
      <c r="I68" s="1204"/>
      <c r="J68" s="1204">
        <f t="shared" si="23"/>
        <v>550000</v>
      </c>
      <c r="K68" s="1205">
        <v>550000</v>
      </c>
      <c r="L68" s="1205"/>
      <c r="M68" s="1205"/>
      <c r="N68" s="1204"/>
      <c r="O68" s="1205"/>
      <c r="P68" s="1205"/>
      <c r="Q68" s="1204">
        <f t="shared" ref="Q68:Q75" si="24">+J68+E68</f>
        <v>31119800</v>
      </c>
      <c r="R68" s="1482">
        <f t="shared" si="1"/>
        <v>31119800</v>
      </c>
      <c r="S68" s="1455">
        <f t="shared" si="4"/>
        <v>0</v>
      </c>
      <c r="T68" s="1450">
        <f t="shared" si="2"/>
        <v>0</v>
      </c>
      <c r="U68" s="1450"/>
      <c r="V68" s="1450">
        <f t="shared" si="5"/>
        <v>0</v>
      </c>
      <c r="W68" s="1456"/>
      <c r="X68" s="1456"/>
      <c r="Y68" s="1456"/>
      <c r="Z68" s="1456"/>
      <c r="AA68" s="1456"/>
      <c r="AB68" s="1456"/>
      <c r="AC68" s="1456"/>
      <c r="AD68" s="1456"/>
      <c r="AE68" s="1456"/>
      <c r="AF68" s="1456"/>
      <c r="AG68" s="1456"/>
      <c r="AH68" s="1456"/>
      <c r="AI68" s="1456"/>
      <c r="AJ68" s="1456"/>
      <c r="AK68" s="1456"/>
      <c r="AL68" s="1456"/>
      <c r="AM68" s="1456"/>
      <c r="AN68" s="1456"/>
      <c r="AO68" s="1456"/>
      <c r="AP68" s="1456"/>
      <c r="AQ68" s="1456"/>
      <c r="AR68" s="1456"/>
      <c r="AS68" s="1456"/>
      <c r="AT68" s="1456"/>
      <c r="AU68" s="1456"/>
    </row>
    <row r="69" spans="1:47" s="1041" customFormat="1" ht="31.5">
      <c r="A69" s="1017" t="s">
        <v>459</v>
      </c>
      <c r="B69" s="1017" t="s">
        <v>460</v>
      </c>
      <c r="C69" s="1038" t="s">
        <v>156</v>
      </c>
      <c r="D69" s="1039" t="s">
        <v>461</v>
      </c>
      <c r="E69" s="1203">
        <f>F69+I69</f>
        <v>28612700</v>
      </c>
      <c r="F69" s="1204">
        <v>28612700</v>
      </c>
      <c r="G69" s="1204"/>
      <c r="H69" s="1204"/>
      <c r="I69" s="1204"/>
      <c r="J69" s="1204">
        <f>+K69+N69</f>
        <v>24015300</v>
      </c>
      <c r="K69" s="1205"/>
      <c r="L69" s="1205"/>
      <c r="M69" s="1205"/>
      <c r="N69" s="1204">
        <f>6620000+11538500+5856800</f>
        <v>24015300</v>
      </c>
      <c r="O69" s="1205">
        <v>24015300</v>
      </c>
      <c r="P69" s="1205">
        <v>24015300</v>
      </c>
      <c r="Q69" s="1204">
        <f t="shared" si="24"/>
        <v>52628000</v>
      </c>
      <c r="R69" s="1482">
        <f t="shared" si="1"/>
        <v>52628000</v>
      </c>
      <c r="S69" s="1455">
        <f t="shared" si="4"/>
        <v>0</v>
      </c>
      <c r="T69" s="1450">
        <f t="shared" si="2"/>
        <v>0</v>
      </c>
      <c r="U69" s="1450"/>
      <c r="V69" s="1450">
        <f t="shared" si="5"/>
        <v>0</v>
      </c>
      <c r="W69" s="1456"/>
      <c r="X69" s="1456"/>
      <c r="Y69" s="1456"/>
      <c r="Z69" s="1456"/>
      <c r="AA69" s="1456"/>
      <c r="AB69" s="1456"/>
      <c r="AC69" s="1456"/>
      <c r="AD69" s="1456"/>
      <c r="AE69" s="1456"/>
      <c r="AF69" s="1456"/>
      <c r="AG69" s="1456"/>
      <c r="AH69" s="1456"/>
      <c r="AI69" s="1456"/>
      <c r="AJ69" s="1456"/>
      <c r="AK69" s="1456"/>
      <c r="AL69" s="1456"/>
      <c r="AM69" s="1456"/>
      <c r="AN69" s="1456"/>
      <c r="AO69" s="1456"/>
      <c r="AP69" s="1456"/>
      <c r="AQ69" s="1456"/>
      <c r="AR69" s="1456"/>
      <c r="AS69" s="1456"/>
      <c r="AT69" s="1456"/>
      <c r="AU69" s="1456"/>
    </row>
    <row r="70" spans="1:47" s="455" customFormat="1" ht="15.6" hidden="1" customHeight="1">
      <c r="A70" s="42" t="s">
        <v>462</v>
      </c>
      <c r="B70" s="42" t="s">
        <v>274</v>
      </c>
      <c r="C70" s="42" t="s">
        <v>159</v>
      </c>
      <c r="D70" s="41" t="s">
        <v>463</v>
      </c>
      <c r="E70" s="1203">
        <f>F70+I70</f>
        <v>0</v>
      </c>
      <c r="F70" s="325"/>
      <c r="G70" s="325"/>
      <c r="H70" s="325"/>
      <c r="I70" s="325"/>
      <c r="J70" s="1204">
        <f>+K70+N70</f>
        <v>0</v>
      </c>
      <c r="K70" s="325"/>
      <c r="L70" s="325"/>
      <c r="M70" s="325"/>
      <c r="N70" s="325"/>
      <c r="O70" s="325"/>
      <c r="P70" s="325"/>
      <c r="Q70" s="1204">
        <f>+J70+E70</f>
        <v>0</v>
      </c>
      <c r="R70" s="1481">
        <f t="shared" si="1"/>
        <v>0</v>
      </c>
      <c r="S70" s="196">
        <f t="shared" si="4"/>
        <v>0</v>
      </c>
      <c r="T70" s="1006">
        <f t="shared" si="2"/>
        <v>0</v>
      </c>
      <c r="U70" s="536"/>
      <c r="V70" s="536">
        <f t="shared" si="5"/>
        <v>0</v>
      </c>
    </row>
    <row r="71" spans="1:47" s="455" customFormat="1" ht="31.5">
      <c r="A71" s="42" t="s">
        <v>1289</v>
      </c>
      <c r="B71" s="42" t="s">
        <v>589</v>
      </c>
      <c r="C71" s="42" t="s">
        <v>1290</v>
      </c>
      <c r="D71" s="41" t="s">
        <v>1291</v>
      </c>
      <c r="E71" s="1203">
        <f>F71+I71</f>
        <v>60000</v>
      </c>
      <c r="F71" s="325">
        <v>60000</v>
      </c>
      <c r="G71" s="325"/>
      <c r="H71" s="325"/>
      <c r="I71" s="325"/>
      <c r="J71" s="1204">
        <f>+K71+N71</f>
        <v>0</v>
      </c>
      <c r="K71" s="325"/>
      <c r="L71" s="325"/>
      <c r="M71" s="325"/>
      <c r="N71" s="325"/>
      <c r="O71" s="325"/>
      <c r="P71" s="325"/>
      <c r="Q71" s="1204">
        <f>+J71+E71</f>
        <v>60000</v>
      </c>
      <c r="R71" s="1482">
        <f t="shared" si="1"/>
        <v>60000</v>
      </c>
      <c r="S71" s="1460"/>
      <c r="T71" s="1450">
        <f t="shared" si="2"/>
        <v>0</v>
      </c>
      <c r="U71" s="1450"/>
      <c r="V71" s="1450"/>
      <c r="W71" s="1449"/>
      <c r="X71" s="1449"/>
      <c r="Y71" s="1449"/>
      <c r="Z71" s="1449"/>
      <c r="AA71" s="1449"/>
      <c r="AB71" s="1449"/>
      <c r="AC71" s="1449"/>
      <c r="AD71" s="1449"/>
      <c r="AE71" s="1449"/>
      <c r="AF71" s="1449"/>
      <c r="AG71" s="1449"/>
      <c r="AH71" s="1449"/>
      <c r="AI71" s="1449"/>
      <c r="AJ71" s="1449"/>
      <c r="AK71" s="1449"/>
      <c r="AL71" s="1449"/>
      <c r="AM71" s="1449"/>
      <c r="AN71" s="1449"/>
      <c r="AO71" s="1449"/>
      <c r="AP71" s="1449"/>
      <c r="AQ71" s="1449"/>
      <c r="AR71" s="1449"/>
      <c r="AS71" s="1449"/>
      <c r="AT71" s="1449"/>
      <c r="AU71" s="1449"/>
    </row>
    <row r="72" spans="1:47" ht="63">
      <c r="A72" s="1015" t="s">
        <v>464</v>
      </c>
      <c r="B72" s="1015" t="s">
        <v>465</v>
      </c>
      <c r="C72" s="1015" t="s">
        <v>7</v>
      </c>
      <c r="D72" s="1022" t="s">
        <v>466</v>
      </c>
      <c r="E72" s="1202">
        <f t="shared" si="20"/>
        <v>27917000</v>
      </c>
      <c r="F72" s="1202">
        <v>27917000</v>
      </c>
      <c r="G72" s="1202"/>
      <c r="H72" s="1202"/>
      <c r="I72" s="1202"/>
      <c r="J72" s="1202">
        <f t="shared" si="23"/>
        <v>0</v>
      </c>
      <c r="K72" s="1202"/>
      <c r="L72" s="1202"/>
      <c r="M72" s="1202"/>
      <c r="N72" s="1202"/>
      <c r="O72" s="1202"/>
      <c r="P72" s="1202"/>
      <c r="Q72" s="1202">
        <f t="shared" si="24"/>
        <v>27917000</v>
      </c>
      <c r="R72" s="1482">
        <f t="shared" si="1"/>
        <v>27917000</v>
      </c>
      <c r="S72" s="1455">
        <f t="shared" si="4"/>
        <v>0</v>
      </c>
      <c r="T72" s="1450">
        <f t="shared" si="2"/>
        <v>0</v>
      </c>
      <c r="U72" s="1450"/>
      <c r="V72" s="1450">
        <f t="shared" si="5"/>
        <v>0</v>
      </c>
      <c r="W72" s="1449"/>
      <c r="X72" s="1449"/>
      <c r="Y72" s="1449"/>
      <c r="Z72" s="1449"/>
      <c r="AA72" s="1449"/>
      <c r="AB72" s="1449"/>
      <c r="AC72" s="1449"/>
      <c r="AD72" s="1449"/>
      <c r="AE72" s="1449"/>
      <c r="AF72" s="1449"/>
      <c r="AG72" s="1449"/>
      <c r="AH72" s="1449"/>
      <c r="AI72" s="1449"/>
      <c r="AJ72" s="1449"/>
      <c r="AK72" s="1449"/>
      <c r="AL72" s="1449"/>
      <c r="AM72" s="1449"/>
      <c r="AN72" s="1449"/>
      <c r="AO72" s="1449"/>
      <c r="AP72" s="1449"/>
      <c r="AQ72" s="1449"/>
      <c r="AR72" s="1449"/>
      <c r="AS72" s="1449"/>
      <c r="AT72" s="1449"/>
      <c r="AU72" s="1449"/>
    </row>
    <row r="73" spans="1:47" s="455" customFormat="1" ht="62.45" customHeight="1">
      <c r="A73" s="42" t="s">
        <v>467</v>
      </c>
      <c r="B73" s="42" t="s">
        <v>468</v>
      </c>
      <c r="C73" s="42" t="s">
        <v>7</v>
      </c>
      <c r="D73" s="41" t="s">
        <v>469</v>
      </c>
      <c r="E73" s="325">
        <f t="shared" si="20"/>
        <v>5487001.8200000003</v>
      </c>
      <c r="F73" s="325">
        <v>5487001.8200000003</v>
      </c>
      <c r="G73" s="325"/>
      <c r="H73" s="325"/>
      <c r="I73" s="325"/>
      <c r="J73" s="325">
        <f t="shared" si="23"/>
        <v>0</v>
      </c>
      <c r="K73" s="325"/>
      <c r="L73" s="325"/>
      <c r="M73" s="325"/>
      <c r="N73" s="325"/>
      <c r="O73" s="325"/>
      <c r="P73" s="325"/>
      <c r="Q73" s="325">
        <f t="shared" si="24"/>
        <v>5487001.8200000003</v>
      </c>
      <c r="R73" s="1482">
        <f t="shared" si="1"/>
        <v>5487001.8200000003</v>
      </c>
      <c r="S73" s="1455">
        <f t="shared" si="4"/>
        <v>0</v>
      </c>
      <c r="T73" s="1450">
        <f t="shared" si="2"/>
        <v>0</v>
      </c>
      <c r="U73" s="1450"/>
      <c r="V73" s="1450">
        <f t="shared" si="5"/>
        <v>0</v>
      </c>
      <c r="W73" s="1449"/>
      <c r="X73" s="1449"/>
      <c r="Y73" s="1449"/>
      <c r="Z73" s="1449"/>
      <c r="AA73" s="1449"/>
      <c r="AB73" s="1449"/>
      <c r="AC73" s="1449"/>
      <c r="AD73" s="1449"/>
      <c r="AE73" s="1449"/>
      <c r="AF73" s="1449"/>
      <c r="AG73" s="1449"/>
      <c r="AH73" s="1449"/>
      <c r="AI73" s="1449"/>
      <c r="AJ73" s="1449"/>
      <c r="AK73" s="1449"/>
      <c r="AL73" s="1449"/>
      <c r="AM73" s="1449"/>
      <c r="AN73" s="1449"/>
      <c r="AO73" s="1449"/>
      <c r="AP73" s="1449"/>
      <c r="AQ73" s="1449"/>
      <c r="AR73" s="1449"/>
      <c r="AS73" s="1449"/>
      <c r="AT73" s="1449"/>
      <c r="AU73" s="1449"/>
    </row>
    <row r="74" spans="1:47" ht="78.75">
      <c r="A74" s="1015" t="s">
        <v>470</v>
      </c>
      <c r="B74" s="1015" t="s">
        <v>471</v>
      </c>
      <c r="C74" s="1015" t="s">
        <v>7</v>
      </c>
      <c r="D74" s="1022" t="s">
        <v>472</v>
      </c>
      <c r="E74" s="1202">
        <f t="shared" si="20"/>
        <v>7965800</v>
      </c>
      <c r="F74" s="1202">
        <v>7965800</v>
      </c>
      <c r="G74" s="1202"/>
      <c r="H74" s="1202"/>
      <c r="I74" s="1202"/>
      <c r="J74" s="1202">
        <f t="shared" si="23"/>
        <v>0</v>
      </c>
      <c r="K74" s="1202"/>
      <c r="L74" s="1202"/>
      <c r="M74" s="1202"/>
      <c r="N74" s="1202"/>
      <c r="O74" s="1202"/>
      <c r="P74" s="1202"/>
      <c r="Q74" s="1202">
        <f t="shared" si="24"/>
        <v>7965800</v>
      </c>
      <c r="R74" s="1482">
        <f t="shared" si="1"/>
        <v>7965800</v>
      </c>
      <c r="S74" s="1455">
        <f t="shared" si="4"/>
        <v>0</v>
      </c>
      <c r="T74" s="1450">
        <f t="shared" si="2"/>
        <v>0</v>
      </c>
      <c r="U74" s="1450"/>
      <c r="V74" s="1450">
        <f t="shared" ref="V74:V126" si="25">O74-N74</f>
        <v>0</v>
      </c>
      <c r="W74" s="1449"/>
      <c r="X74" s="1449"/>
      <c r="Y74" s="1449"/>
      <c r="Z74" s="1449"/>
      <c r="AA74" s="1449"/>
      <c r="AB74" s="1449"/>
      <c r="AC74" s="1449"/>
      <c r="AD74" s="1449"/>
      <c r="AE74" s="1449"/>
      <c r="AF74" s="1449"/>
      <c r="AG74" s="1449"/>
      <c r="AH74" s="1449"/>
      <c r="AI74" s="1449"/>
      <c r="AJ74" s="1449"/>
      <c r="AK74" s="1449"/>
      <c r="AL74" s="1449"/>
      <c r="AM74" s="1449"/>
      <c r="AN74" s="1449"/>
      <c r="AO74" s="1449"/>
      <c r="AP74" s="1449"/>
      <c r="AQ74" s="1449"/>
      <c r="AR74" s="1449"/>
      <c r="AS74" s="1449"/>
      <c r="AT74" s="1449"/>
      <c r="AU74" s="1449"/>
    </row>
    <row r="75" spans="1:47" s="24" customFormat="1" ht="31.15" hidden="1" customHeight="1">
      <c r="A75" s="42" t="s">
        <v>473</v>
      </c>
      <c r="B75" s="39">
        <v>9770</v>
      </c>
      <c r="C75" s="42" t="s">
        <v>7</v>
      </c>
      <c r="D75" s="41" t="s">
        <v>474</v>
      </c>
      <c r="E75" s="325">
        <f t="shared" si="20"/>
        <v>0</v>
      </c>
      <c r="F75" s="50"/>
      <c r="G75" s="50"/>
      <c r="H75" s="50"/>
      <c r="I75" s="50"/>
      <c r="J75" s="325">
        <f t="shared" si="23"/>
        <v>0</v>
      </c>
      <c r="K75" s="50"/>
      <c r="L75" s="50"/>
      <c r="M75" s="50"/>
      <c r="N75" s="50"/>
      <c r="O75" s="50"/>
      <c r="P75" s="50"/>
      <c r="Q75" s="325">
        <f t="shared" si="24"/>
        <v>0</v>
      </c>
      <c r="R75" s="1481">
        <f t="shared" si="1"/>
        <v>0</v>
      </c>
      <c r="S75" s="284">
        <f t="shared" si="4"/>
        <v>0</v>
      </c>
      <c r="T75" s="1006">
        <f t="shared" si="2"/>
        <v>0</v>
      </c>
      <c r="U75" s="536"/>
      <c r="V75" s="536">
        <f t="shared" si="25"/>
        <v>0</v>
      </c>
    </row>
    <row r="76" spans="1:47" s="1036" customFormat="1" ht="47.25">
      <c r="A76" s="1033" t="s">
        <v>478</v>
      </c>
      <c r="B76" s="1033"/>
      <c r="C76" s="1033"/>
      <c r="D76" s="1024" t="s">
        <v>920</v>
      </c>
      <c r="E76" s="1210">
        <f>E81+E82+E83+E94+E91+E92+E80+E79+E84+E101+E95+E90++E97+E98+E104+E93+E85+E86+E87+E88+E99++E96+E78+E100+E89+E102+E103</f>
        <v>372761894.13999999</v>
      </c>
      <c r="F76" s="1210">
        <f t="shared" ref="F76:Q76" si="26">F81+F82+F83+F94+F91+F92+F80+F79+F84+F101+F95+F90++F97+F98+F104+F93+F85+F86+F87+F88+F99++F96+F78+F100+F89+F102+F103</f>
        <v>343345826.06999999</v>
      </c>
      <c r="G76" s="1210">
        <f t="shared" si="26"/>
        <v>124672400</v>
      </c>
      <c r="H76" s="1210">
        <f t="shared" si="26"/>
        <v>31626900</v>
      </c>
      <c r="I76" s="1210">
        <f t="shared" si="26"/>
        <v>29416068.07</v>
      </c>
      <c r="J76" s="1210">
        <f t="shared" si="26"/>
        <v>48385106.93</v>
      </c>
      <c r="K76" s="1210">
        <f t="shared" si="26"/>
        <v>39321300</v>
      </c>
      <c r="L76" s="1210">
        <f t="shared" si="26"/>
        <v>555900</v>
      </c>
      <c r="M76" s="1210">
        <f t="shared" si="26"/>
        <v>59100</v>
      </c>
      <c r="N76" s="1210">
        <f t="shared" si="26"/>
        <v>9063806.9299999997</v>
      </c>
      <c r="O76" s="1210">
        <f t="shared" si="26"/>
        <v>9049606.9299999997</v>
      </c>
      <c r="P76" s="1210">
        <f t="shared" si="26"/>
        <v>9049606.9299999997</v>
      </c>
      <c r="Q76" s="1210">
        <f t="shared" si="26"/>
        <v>421147001.06999999</v>
      </c>
      <c r="R76" s="1482">
        <f t="shared" si="1"/>
        <v>421147001.06999999</v>
      </c>
      <c r="S76" s="1455">
        <f>R76-Q76</f>
        <v>0</v>
      </c>
      <c r="T76" s="1450">
        <f t="shared" si="2"/>
        <v>0</v>
      </c>
      <c r="U76" s="1450"/>
      <c r="V76" s="1450">
        <f t="shared" si="25"/>
        <v>-14200</v>
      </c>
      <c r="W76" s="1459"/>
      <c r="X76" s="1459"/>
      <c r="Y76" s="1459"/>
      <c r="Z76" s="1459"/>
      <c r="AA76" s="1459"/>
      <c r="AB76" s="1459"/>
      <c r="AC76" s="1459"/>
      <c r="AD76" s="1459"/>
      <c r="AE76" s="1459"/>
      <c r="AF76" s="1459"/>
      <c r="AG76" s="1459"/>
      <c r="AH76" s="1459"/>
      <c r="AI76" s="1459"/>
      <c r="AJ76" s="1459"/>
      <c r="AK76" s="1459"/>
      <c r="AL76" s="1459"/>
      <c r="AM76" s="1459"/>
      <c r="AN76" s="1459"/>
      <c r="AO76" s="1459"/>
      <c r="AP76" s="1459"/>
      <c r="AQ76" s="1459"/>
      <c r="AR76" s="1459"/>
      <c r="AS76" s="1459"/>
      <c r="AT76" s="1459"/>
      <c r="AU76" s="1459"/>
    </row>
    <row r="77" spans="1:47" s="1042" customFormat="1" ht="47.25">
      <c r="A77" s="1033" t="s">
        <v>479</v>
      </c>
      <c r="B77" s="1033"/>
      <c r="C77" s="1033"/>
      <c r="D77" s="1024" t="s">
        <v>920</v>
      </c>
      <c r="E77" s="1210">
        <f>SUM(E78:E104)</f>
        <v>372761894.13999999</v>
      </c>
      <c r="F77" s="1210">
        <f t="shared" ref="F77:Q77" si="27">SUM(F78:F104)</f>
        <v>343345826.06999999</v>
      </c>
      <c r="G77" s="1210">
        <f t="shared" si="27"/>
        <v>124672400</v>
      </c>
      <c r="H77" s="1210">
        <f t="shared" si="27"/>
        <v>31626900</v>
      </c>
      <c r="I77" s="1210">
        <f t="shared" si="27"/>
        <v>29416068.07</v>
      </c>
      <c r="J77" s="1210">
        <f t="shared" si="27"/>
        <v>48385106.93</v>
      </c>
      <c r="K77" s="1210">
        <f t="shared" si="27"/>
        <v>39321300</v>
      </c>
      <c r="L77" s="1210">
        <f t="shared" si="27"/>
        <v>555900</v>
      </c>
      <c r="M77" s="1210">
        <f t="shared" si="27"/>
        <v>59100</v>
      </c>
      <c r="N77" s="1210">
        <f t="shared" si="27"/>
        <v>9063806.9299999997</v>
      </c>
      <c r="O77" s="1210">
        <f t="shared" si="27"/>
        <v>9049606.9299999997</v>
      </c>
      <c r="P77" s="1210">
        <f t="shared" si="27"/>
        <v>9049606.9299999997</v>
      </c>
      <c r="Q77" s="1210">
        <f t="shared" si="27"/>
        <v>421147001.06999999</v>
      </c>
      <c r="R77" s="1482">
        <f t="shared" si="1"/>
        <v>421147001.06999999</v>
      </c>
      <c r="S77" s="1455">
        <f t="shared" ref="S77:S141" si="28">R77-Q77</f>
        <v>0</v>
      </c>
      <c r="T77" s="1450">
        <f t="shared" si="2"/>
        <v>0</v>
      </c>
      <c r="U77" s="1450"/>
      <c r="V77" s="1450">
        <f t="shared" si="25"/>
        <v>-14200</v>
      </c>
      <c r="W77" s="1461"/>
      <c r="X77" s="1461"/>
      <c r="Y77" s="1461"/>
      <c r="Z77" s="1461"/>
      <c r="AA77" s="1461"/>
      <c r="AB77" s="1461"/>
      <c r="AC77" s="1461"/>
      <c r="AD77" s="1461"/>
      <c r="AE77" s="1461"/>
      <c r="AF77" s="1461"/>
      <c r="AG77" s="1461"/>
      <c r="AH77" s="1461"/>
      <c r="AI77" s="1461"/>
      <c r="AJ77" s="1461"/>
      <c r="AK77" s="1461"/>
      <c r="AL77" s="1461"/>
      <c r="AM77" s="1461"/>
      <c r="AN77" s="1461"/>
      <c r="AO77" s="1461"/>
      <c r="AP77" s="1461"/>
      <c r="AQ77" s="1461"/>
      <c r="AR77" s="1461"/>
      <c r="AS77" s="1461"/>
      <c r="AT77" s="1461"/>
      <c r="AU77" s="1461"/>
    </row>
    <row r="78" spans="1:47" s="1045" customFormat="1" ht="42" customHeight="1">
      <c r="A78" s="1015" t="s">
        <v>935</v>
      </c>
      <c r="B78" s="1015" t="s">
        <v>936</v>
      </c>
      <c r="C78" s="1015" t="s">
        <v>11</v>
      </c>
      <c r="D78" s="1043" t="s">
        <v>937</v>
      </c>
      <c r="E78" s="1013">
        <f t="shared" ref="E78:E94" si="29">F78+I78</f>
        <v>54220000</v>
      </c>
      <c r="F78" s="1013">
        <v>54220000</v>
      </c>
      <c r="G78" s="1044"/>
      <c r="H78" s="1044"/>
      <c r="I78" s="1013"/>
      <c r="J78" s="1013">
        <f t="shared" ref="J78:J92" si="30">+K78+N78</f>
        <v>0</v>
      </c>
      <c r="K78" s="1044"/>
      <c r="L78" s="1044"/>
      <c r="M78" s="1044"/>
      <c r="N78" s="1044"/>
      <c r="O78" s="1044"/>
      <c r="P78" s="1044"/>
      <c r="Q78" s="1013">
        <f t="shared" ref="Q78:Q94" si="31">+J78+E78</f>
        <v>54220000</v>
      </c>
      <c r="R78" s="1482">
        <f t="shared" si="1"/>
        <v>54220000</v>
      </c>
      <c r="S78" s="1455"/>
      <c r="T78" s="1450">
        <f t="shared" ref="T78:T143" si="32">P78-O78</f>
        <v>0</v>
      </c>
      <c r="U78" s="1450"/>
      <c r="V78" s="1450">
        <f t="shared" si="25"/>
        <v>0</v>
      </c>
      <c r="W78" s="1462"/>
      <c r="X78" s="1462"/>
      <c r="Y78" s="1462"/>
      <c r="Z78" s="1462"/>
      <c r="AA78" s="1462"/>
      <c r="AB78" s="1462"/>
      <c r="AC78" s="1462"/>
      <c r="AD78" s="1462"/>
      <c r="AE78" s="1462"/>
      <c r="AF78" s="1462"/>
      <c r="AG78" s="1462"/>
      <c r="AH78" s="1462"/>
      <c r="AI78" s="1462"/>
      <c r="AJ78" s="1462"/>
      <c r="AK78" s="1462"/>
      <c r="AL78" s="1462"/>
      <c r="AM78" s="1462"/>
      <c r="AN78" s="1462"/>
      <c r="AO78" s="1462"/>
      <c r="AP78" s="1462"/>
      <c r="AQ78" s="1462"/>
      <c r="AR78" s="1462"/>
      <c r="AS78" s="1462"/>
      <c r="AT78" s="1462"/>
      <c r="AU78" s="1462"/>
    </row>
    <row r="79" spans="1:47" s="195" customFormat="1" ht="46.9" hidden="1" customHeight="1">
      <c r="A79" s="42" t="s">
        <v>480</v>
      </c>
      <c r="B79" s="42" t="s">
        <v>160</v>
      </c>
      <c r="C79" s="42" t="s">
        <v>15</v>
      </c>
      <c r="D79" s="40" t="s">
        <v>161</v>
      </c>
      <c r="E79" s="316">
        <f t="shared" si="29"/>
        <v>0</v>
      </c>
      <c r="F79" s="316"/>
      <c r="G79" s="326"/>
      <c r="H79" s="326"/>
      <c r="I79" s="316"/>
      <c r="J79" s="316">
        <f t="shared" si="30"/>
        <v>0</v>
      </c>
      <c r="K79" s="326"/>
      <c r="L79" s="326"/>
      <c r="M79" s="326"/>
      <c r="N79" s="326"/>
      <c r="O79" s="326"/>
      <c r="P79" s="326"/>
      <c r="Q79" s="316">
        <f t="shared" si="31"/>
        <v>0</v>
      </c>
      <c r="R79" s="1481">
        <f t="shared" si="1"/>
        <v>0</v>
      </c>
      <c r="S79" s="284">
        <f t="shared" si="28"/>
        <v>0</v>
      </c>
      <c r="T79" s="1006">
        <f t="shared" si="32"/>
        <v>0</v>
      </c>
      <c r="U79" s="536"/>
      <c r="V79" s="536">
        <f t="shared" si="25"/>
        <v>0</v>
      </c>
    </row>
    <row r="80" spans="1:47" ht="42" customHeight="1">
      <c r="A80" s="1015" t="s">
        <v>481</v>
      </c>
      <c r="B80" s="1015" t="s">
        <v>162</v>
      </c>
      <c r="C80" s="1015" t="s">
        <v>163</v>
      </c>
      <c r="D80" s="1022" t="s">
        <v>781</v>
      </c>
      <c r="E80" s="1013">
        <f t="shared" si="29"/>
        <v>817300</v>
      </c>
      <c r="F80" s="1013">
        <v>817300</v>
      </c>
      <c r="G80" s="1013"/>
      <c r="H80" s="1013"/>
      <c r="I80" s="1013"/>
      <c r="J80" s="1013">
        <f t="shared" si="30"/>
        <v>0</v>
      </c>
      <c r="K80" s="1032"/>
      <c r="L80" s="1032"/>
      <c r="M80" s="1032"/>
      <c r="N80" s="1013"/>
      <c r="O80" s="1032"/>
      <c r="P80" s="1032"/>
      <c r="Q80" s="1013">
        <f t="shared" si="31"/>
        <v>817300</v>
      </c>
      <c r="R80" s="1482">
        <f t="shared" si="1"/>
        <v>817300</v>
      </c>
      <c r="S80" s="1455">
        <f t="shared" si="28"/>
        <v>0</v>
      </c>
      <c r="T80" s="1450">
        <f t="shared" si="32"/>
        <v>0</v>
      </c>
      <c r="U80" s="1450"/>
      <c r="V80" s="1450">
        <f t="shared" si="25"/>
        <v>0</v>
      </c>
      <c r="W80" s="1449"/>
      <c r="X80" s="1449"/>
      <c r="Y80" s="1449"/>
      <c r="Z80" s="1449"/>
      <c r="AA80" s="1449"/>
      <c r="AB80" s="1449"/>
      <c r="AC80" s="1449"/>
      <c r="AD80" s="1449"/>
      <c r="AE80" s="1449"/>
      <c r="AF80" s="1449"/>
      <c r="AG80" s="1449"/>
      <c r="AH80" s="1449"/>
      <c r="AI80" s="1449"/>
      <c r="AJ80" s="1449"/>
      <c r="AK80" s="1449"/>
      <c r="AL80" s="1449"/>
      <c r="AM80" s="1449"/>
      <c r="AN80" s="1449"/>
      <c r="AO80" s="1449"/>
      <c r="AP80" s="1449"/>
      <c r="AQ80" s="1449"/>
      <c r="AR80" s="1449"/>
      <c r="AS80" s="1449"/>
      <c r="AT80" s="1449"/>
      <c r="AU80" s="1449"/>
    </row>
    <row r="81" spans="1:47" s="1041" customFormat="1" ht="63">
      <c r="A81" s="1017" t="s">
        <v>482</v>
      </c>
      <c r="B81" s="1017" t="s">
        <v>164</v>
      </c>
      <c r="C81" s="1017" t="s">
        <v>165</v>
      </c>
      <c r="D81" s="1018" t="s">
        <v>166</v>
      </c>
      <c r="E81" s="1020">
        <f t="shared" si="29"/>
        <v>37191300</v>
      </c>
      <c r="F81" s="1020">
        <v>37191300</v>
      </c>
      <c r="G81" s="1020">
        <v>20278900</v>
      </c>
      <c r="H81" s="1020">
        <v>4199200</v>
      </c>
      <c r="I81" s="1020"/>
      <c r="J81" s="1020">
        <f t="shared" si="30"/>
        <v>5503500</v>
      </c>
      <c r="K81" s="1040">
        <v>4186900</v>
      </c>
      <c r="L81" s="1040"/>
      <c r="M81" s="1040"/>
      <c r="N81" s="1020">
        <v>1316600</v>
      </c>
      <c r="O81" s="1020">
        <v>1316600</v>
      </c>
      <c r="P81" s="1020">
        <v>1316600</v>
      </c>
      <c r="Q81" s="1020">
        <f t="shared" si="31"/>
        <v>42694800</v>
      </c>
      <c r="R81" s="1482">
        <f t="shared" ref="R81:R144" si="33">+E81+J81</f>
        <v>42694800</v>
      </c>
      <c r="S81" s="1455">
        <f t="shared" si="28"/>
        <v>0</v>
      </c>
      <c r="T81" s="1450">
        <f t="shared" si="32"/>
        <v>0</v>
      </c>
      <c r="U81" s="1450"/>
      <c r="V81" s="1450">
        <f t="shared" si="25"/>
        <v>0</v>
      </c>
      <c r="W81" s="1456"/>
      <c r="X81" s="1456"/>
      <c r="Y81" s="1456"/>
      <c r="Z81" s="1456"/>
      <c r="AA81" s="1456"/>
      <c r="AB81" s="1456"/>
      <c r="AC81" s="1456"/>
      <c r="AD81" s="1456"/>
      <c r="AE81" s="1456"/>
      <c r="AF81" s="1456"/>
      <c r="AG81" s="1456"/>
      <c r="AH81" s="1456"/>
      <c r="AI81" s="1456"/>
      <c r="AJ81" s="1456"/>
      <c r="AK81" s="1456"/>
      <c r="AL81" s="1456"/>
      <c r="AM81" s="1456"/>
      <c r="AN81" s="1456"/>
      <c r="AO81" s="1456"/>
      <c r="AP81" s="1456"/>
      <c r="AQ81" s="1456"/>
      <c r="AR81" s="1456"/>
      <c r="AS81" s="1456"/>
      <c r="AT81" s="1456"/>
      <c r="AU81" s="1456"/>
    </row>
    <row r="82" spans="1:47" s="1041" customFormat="1" ht="110.25">
      <c r="A82" s="1017" t="s">
        <v>483</v>
      </c>
      <c r="B82" s="1017" t="s">
        <v>167</v>
      </c>
      <c r="C82" s="1017" t="s">
        <v>168</v>
      </c>
      <c r="D82" s="1018" t="s">
        <v>782</v>
      </c>
      <c r="E82" s="1020">
        <f t="shared" si="29"/>
        <v>146348800</v>
      </c>
      <c r="F82" s="1020">
        <v>146348800</v>
      </c>
      <c r="G82" s="1020">
        <v>76156800</v>
      </c>
      <c r="H82" s="1020">
        <v>22893500</v>
      </c>
      <c r="I82" s="1020"/>
      <c r="J82" s="1020">
        <f t="shared" si="30"/>
        <v>37189600</v>
      </c>
      <c r="K82" s="1040">
        <v>34268800</v>
      </c>
      <c r="L82" s="1040"/>
      <c r="M82" s="1040"/>
      <c r="N82" s="1020">
        <v>2920800</v>
      </c>
      <c r="O82" s="1020">
        <v>2920800</v>
      </c>
      <c r="P82" s="1020">
        <v>2920800</v>
      </c>
      <c r="Q82" s="1020">
        <f t="shared" si="31"/>
        <v>183538400</v>
      </c>
      <c r="R82" s="1482">
        <f t="shared" si="33"/>
        <v>183538400</v>
      </c>
      <c r="S82" s="1455"/>
      <c r="T82" s="1450">
        <f t="shared" si="32"/>
        <v>0</v>
      </c>
      <c r="U82" s="1450"/>
      <c r="V82" s="1450">
        <f t="shared" si="25"/>
        <v>0</v>
      </c>
      <c r="W82" s="1456"/>
      <c r="X82" s="1456"/>
      <c r="Y82" s="1456"/>
      <c r="Z82" s="1456"/>
      <c r="AA82" s="1456"/>
      <c r="AB82" s="1456"/>
      <c r="AC82" s="1456"/>
      <c r="AD82" s="1456"/>
      <c r="AE82" s="1456"/>
      <c r="AF82" s="1456"/>
      <c r="AG82" s="1456"/>
      <c r="AH82" s="1456"/>
      <c r="AI82" s="1456"/>
      <c r="AJ82" s="1456"/>
      <c r="AK82" s="1456"/>
      <c r="AL82" s="1456"/>
      <c r="AM82" s="1456"/>
      <c r="AN82" s="1456"/>
      <c r="AO82" s="1456"/>
      <c r="AP82" s="1456"/>
      <c r="AQ82" s="1456"/>
      <c r="AR82" s="1456"/>
      <c r="AS82" s="1456"/>
      <c r="AT82" s="1456"/>
      <c r="AU82" s="1456"/>
    </row>
    <row r="83" spans="1:47" s="1041" customFormat="1" ht="31.5">
      <c r="A83" s="1017" t="s">
        <v>484</v>
      </c>
      <c r="B83" s="1017" t="s">
        <v>169</v>
      </c>
      <c r="C83" s="1017" t="s">
        <v>165</v>
      </c>
      <c r="D83" s="1018" t="s">
        <v>783</v>
      </c>
      <c r="E83" s="1020">
        <f t="shared" si="29"/>
        <v>21090600</v>
      </c>
      <c r="F83" s="1020">
        <v>21090600</v>
      </c>
      <c r="G83" s="1020">
        <v>11976900</v>
      </c>
      <c r="H83" s="1020">
        <v>2460400</v>
      </c>
      <c r="I83" s="1020"/>
      <c r="J83" s="1020">
        <f t="shared" si="30"/>
        <v>879800</v>
      </c>
      <c r="K83" s="1040">
        <v>865600</v>
      </c>
      <c r="L83" s="1040">
        <v>555900</v>
      </c>
      <c r="M83" s="1040">
        <v>59100</v>
      </c>
      <c r="N83" s="1020">
        <v>14200</v>
      </c>
      <c r="O83" s="1040"/>
      <c r="P83" s="1040"/>
      <c r="Q83" s="1020">
        <f t="shared" si="31"/>
        <v>21970400</v>
      </c>
      <c r="R83" s="1482">
        <f t="shared" si="33"/>
        <v>21970400</v>
      </c>
      <c r="S83" s="1455">
        <f t="shared" si="28"/>
        <v>0</v>
      </c>
      <c r="T83" s="1450">
        <f t="shared" si="32"/>
        <v>0</v>
      </c>
      <c r="U83" s="1450"/>
      <c r="V83" s="1450">
        <f t="shared" si="25"/>
        <v>-14200</v>
      </c>
      <c r="W83" s="1456"/>
      <c r="X83" s="1456"/>
      <c r="Y83" s="1456"/>
      <c r="Z83" s="1456"/>
      <c r="AA83" s="1456"/>
      <c r="AB83" s="1456"/>
      <c r="AC83" s="1456"/>
      <c r="AD83" s="1456"/>
      <c r="AE83" s="1456"/>
      <c r="AF83" s="1456"/>
      <c r="AG83" s="1456"/>
      <c r="AH83" s="1456"/>
      <c r="AI83" s="1456"/>
      <c r="AJ83" s="1456"/>
      <c r="AK83" s="1456"/>
      <c r="AL83" s="1456"/>
      <c r="AM83" s="1456"/>
      <c r="AN83" s="1456"/>
      <c r="AO83" s="1456"/>
      <c r="AP83" s="1456"/>
      <c r="AQ83" s="1456"/>
      <c r="AR83" s="1456"/>
      <c r="AS83" s="1456"/>
      <c r="AT83" s="1456"/>
      <c r="AU83" s="1456"/>
    </row>
    <row r="84" spans="1:47" s="1041" customFormat="1" ht="39.6" customHeight="1">
      <c r="A84" s="1017" t="s">
        <v>485</v>
      </c>
      <c r="B84" s="1017" t="s">
        <v>170</v>
      </c>
      <c r="C84" s="1017" t="s">
        <v>165</v>
      </c>
      <c r="D84" s="1018" t="s">
        <v>486</v>
      </c>
      <c r="E84" s="1020">
        <f t="shared" si="29"/>
        <v>4469800</v>
      </c>
      <c r="F84" s="1020">
        <v>4469800</v>
      </c>
      <c r="G84" s="1020">
        <v>1945700</v>
      </c>
      <c r="H84" s="1020">
        <v>1079700</v>
      </c>
      <c r="I84" s="1020"/>
      <c r="J84" s="1020">
        <f t="shared" si="30"/>
        <v>58500</v>
      </c>
      <c r="K84" s="1040"/>
      <c r="L84" s="1040"/>
      <c r="M84" s="1040"/>
      <c r="N84" s="1020">
        <v>58500</v>
      </c>
      <c r="O84" s="1040">
        <v>58500</v>
      </c>
      <c r="P84" s="1040">
        <v>58500</v>
      </c>
      <c r="Q84" s="1020">
        <f t="shared" si="31"/>
        <v>4528300</v>
      </c>
      <c r="R84" s="1482">
        <f t="shared" si="33"/>
        <v>4528300</v>
      </c>
      <c r="S84" s="1455">
        <f t="shared" si="28"/>
        <v>0</v>
      </c>
      <c r="T84" s="1450">
        <f t="shared" si="32"/>
        <v>0</v>
      </c>
      <c r="U84" s="1450"/>
      <c r="V84" s="1450">
        <f t="shared" si="25"/>
        <v>0</v>
      </c>
      <c r="W84" s="1456"/>
      <c r="X84" s="1456"/>
      <c r="Y84" s="1456"/>
      <c r="Z84" s="1456"/>
      <c r="AA84" s="1456"/>
      <c r="AB84" s="1456"/>
      <c r="AC84" s="1456"/>
      <c r="AD84" s="1456"/>
      <c r="AE84" s="1456"/>
      <c r="AF84" s="1456"/>
      <c r="AG84" s="1456"/>
      <c r="AH84" s="1456"/>
      <c r="AI84" s="1456"/>
      <c r="AJ84" s="1456"/>
      <c r="AK84" s="1456"/>
      <c r="AL84" s="1456"/>
      <c r="AM84" s="1456"/>
      <c r="AN84" s="1456"/>
      <c r="AO84" s="1456"/>
      <c r="AP84" s="1456"/>
      <c r="AQ84" s="1456"/>
      <c r="AR84" s="1456"/>
      <c r="AS84" s="1456"/>
      <c r="AT84" s="1456"/>
      <c r="AU84" s="1456"/>
    </row>
    <row r="85" spans="1:47" s="1041" customFormat="1" ht="55.15" customHeight="1">
      <c r="A85" s="1017" t="s">
        <v>910</v>
      </c>
      <c r="B85" s="1017" t="s">
        <v>334</v>
      </c>
      <c r="C85" s="1038" t="s">
        <v>11</v>
      </c>
      <c r="D85" s="1039" t="s">
        <v>77</v>
      </c>
      <c r="E85" s="1019">
        <f t="shared" si="29"/>
        <v>1222100</v>
      </c>
      <c r="F85" s="1020">
        <v>1222100</v>
      </c>
      <c r="G85" s="1020">
        <v>601000</v>
      </c>
      <c r="H85" s="1020">
        <v>141600</v>
      </c>
      <c r="I85" s="1020"/>
      <c r="J85" s="1020">
        <f t="shared" si="30"/>
        <v>0</v>
      </c>
      <c r="K85" s="1020"/>
      <c r="L85" s="1020"/>
      <c r="M85" s="1020"/>
      <c r="N85" s="1020"/>
      <c r="O85" s="1020"/>
      <c r="P85" s="1020"/>
      <c r="Q85" s="1020">
        <f t="shared" si="31"/>
        <v>1222100</v>
      </c>
      <c r="R85" s="1482">
        <f t="shared" si="33"/>
        <v>1222100</v>
      </c>
      <c r="S85" s="1455">
        <f>R85-Q85</f>
        <v>0</v>
      </c>
      <c r="T85" s="1450">
        <f t="shared" si="32"/>
        <v>0</v>
      </c>
      <c r="U85" s="1450"/>
      <c r="V85" s="1450">
        <f t="shared" si="25"/>
        <v>0</v>
      </c>
      <c r="W85" s="1456"/>
      <c r="X85" s="1456"/>
      <c r="Y85" s="1456"/>
      <c r="Z85" s="1456"/>
      <c r="AA85" s="1456"/>
      <c r="AB85" s="1456"/>
      <c r="AC85" s="1456"/>
      <c r="AD85" s="1456"/>
      <c r="AE85" s="1456"/>
      <c r="AF85" s="1456"/>
      <c r="AG85" s="1456"/>
      <c r="AH85" s="1456"/>
      <c r="AI85" s="1456"/>
      <c r="AJ85" s="1456"/>
      <c r="AK85" s="1456"/>
      <c r="AL85" s="1456"/>
      <c r="AM85" s="1456"/>
      <c r="AN85" s="1456"/>
      <c r="AO85" s="1456"/>
      <c r="AP85" s="1456"/>
      <c r="AQ85" s="1456"/>
      <c r="AR85" s="1456"/>
      <c r="AS85" s="1456"/>
      <c r="AT85" s="1456"/>
      <c r="AU85" s="1456"/>
    </row>
    <row r="86" spans="1:47" s="1041" customFormat="1" ht="47.25">
      <c r="A86" s="1017" t="s">
        <v>911</v>
      </c>
      <c r="B86" s="1017" t="s">
        <v>529</v>
      </c>
      <c r="C86" s="1017" t="s">
        <v>11</v>
      </c>
      <c r="D86" s="1018" t="s">
        <v>530</v>
      </c>
      <c r="E86" s="1020">
        <f t="shared" si="29"/>
        <v>2176800</v>
      </c>
      <c r="F86" s="1020">
        <v>2176800</v>
      </c>
      <c r="G86" s="1020">
        <v>1327300</v>
      </c>
      <c r="H86" s="1020">
        <v>82600</v>
      </c>
      <c r="I86" s="1020"/>
      <c r="J86" s="1020">
        <f t="shared" si="30"/>
        <v>15000</v>
      </c>
      <c r="K86" s="1040"/>
      <c r="L86" s="1040"/>
      <c r="M86" s="1040"/>
      <c r="N86" s="1020">
        <v>15000</v>
      </c>
      <c r="O86" s="1040">
        <v>15000</v>
      </c>
      <c r="P86" s="1040">
        <v>15000</v>
      </c>
      <c r="Q86" s="1020">
        <f t="shared" si="31"/>
        <v>2191800</v>
      </c>
      <c r="R86" s="1482">
        <f t="shared" si="33"/>
        <v>2191800</v>
      </c>
      <c r="S86" s="1455">
        <f>R86-Q86</f>
        <v>0</v>
      </c>
      <c r="T86" s="1450">
        <f t="shared" si="32"/>
        <v>0</v>
      </c>
      <c r="U86" s="1450"/>
      <c r="V86" s="1450">
        <f t="shared" si="25"/>
        <v>0</v>
      </c>
      <c r="W86" s="1456"/>
      <c r="X86" s="1456"/>
      <c r="Y86" s="1456"/>
      <c r="Z86" s="1456"/>
      <c r="AA86" s="1456"/>
      <c r="AB86" s="1456"/>
      <c r="AC86" s="1456"/>
      <c r="AD86" s="1456"/>
      <c r="AE86" s="1456"/>
      <c r="AF86" s="1456"/>
      <c r="AG86" s="1456"/>
      <c r="AH86" s="1456"/>
      <c r="AI86" s="1456"/>
      <c r="AJ86" s="1456"/>
      <c r="AK86" s="1456"/>
      <c r="AL86" s="1456"/>
      <c r="AM86" s="1456"/>
      <c r="AN86" s="1456"/>
      <c r="AO86" s="1456"/>
      <c r="AP86" s="1456"/>
      <c r="AQ86" s="1456"/>
      <c r="AR86" s="1456"/>
      <c r="AS86" s="1456"/>
      <c r="AT86" s="1456"/>
      <c r="AU86" s="1456"/>
    </row>
    <row r="87" spans="1:47" s="1041" customFormat="1" ht="47.25">
      <c r="A87" s="1017" t="s">
        <v>912</v>
      </c>
      <c r="B87" s="1017" t="s">
        <v>532</v>
      </c>
      <c r="C87" s="1017" t="s">
        <v>11</v>
      </c>
      <c r="D87" s="1046" t="s">
        <v>297</v>
      </c>
      <c r="E87" s="1020">
        <f t="shared" si="29"/>
        <v>86100</v>
      </c>
      <c r="F87" s="1020">
        <v>86100</v>
      </c>
      <c r="G87" s="1020"/>
      <c r="H87" s="1020"/>
      <c r="I87" s="1020"/>
      <c r="J87" s="1020">
        <f t="shared" si="30"/>
        <v>0</v>
      </c>
      <c r="K87" s="1040"/>
      <c r="L87" s="1040"/>
      <c r="M87" s="1040"/>
      <c r="N87" s="1020"/>
      <c r="O87" s="1040"/>
      <c r="P87" s="1040"/>
      <c r="Q87" s="1020">
        <f t="shared" si="31"/>
        <v>86100</v>
      </c>
      <c r="R87" s="1482">
        <f t="shared" si="33"/>
        <v>86100</v>
      </c>
      <c r="S87" s="1455">
        <f>R87-Q87</f>
        <v>0</v>
      </c>
      <c r="T87" s="1450">
        <f t="shared" si="32"/>
        <v>0</v>
      </c>
      <c r="U87" s="1450"/>
      <c r="V87" s="1450">
        <f t="shared" si="25"/>
        <v>0</v>
      </c>
      <c r="W87" s="1456"/>
      <c r="X87" s="1456"/>
      <c r="Y87" s="1456"/>
      <c r="Z87" s="1456"/>
      <c r="AA87" s="1456"/>
      <c r="AB87" s="1456"/>
      <c r="AC87" s="1456"/>
      <c r="AD87" s="1456"/>
      <c r="AE87" s="1456"/>
      <c r="AF87" s="1456"/>
      <c r="AG87" s="1456"/>
      <c r="AH87" s="1456"/>
      <c r="AI87" s="1456"/>
      <c r="AJ87" s="1456"/>
      <c r="AK87" s="1456"/>
      <c r="AL87" s="1456"/>
      <c r="AM87" s="1456"/>
      <c r="AN87" s="1456"/>
      <c r="AO87" s="1456"/>
      <c r="AP87" s="1456"/>
      <c r="AQ87" s="1456"/>
      <c r="AR87" s="1456"/>
      <c r="AS87" s="1456"/>
      <c r="AT87" s="1456"/>
      <c r="AU87" s="1456"/>
    </row>
    <row r="88" spans="1:47" s="1041" customFormat="1" ht="15.75">
      <c r="A88" s="1017" t="s">
        <v>913</v>
      </c>
      <c r="B88" s="1017" t="s">
        <v>534</v>
      </c>
      <c r="C88" s="1017" t="s">
        <v>11</v>
      </c>
      <c r="D88" s="1018" t="s">
        <v>175</v>
      </c>
      <c r="E88" s="1020">
        <f t="shared" si="29"/>
        <v>518400</v>
      </c>
      <c r="F88" s="1020">
        <v>518400</v>
      </c>
      <c r="G88" s="1020"/>
      <c r="H88" s="1020"/>
      <c r="I88" s="1020"/>
      <c r="J88" s="1020">
        <f t="shared" si="30"/>
        <v>0</v>
      </c>
      <c r="K88" s="1040"/>
      <c r="L88" s="1040"/>
      <c r="M88" s="1040"/>
      <c r="N88" s="1020"/>
      <c r="O88" s="1040"/>
      <c r="P88" s="1040"/>
      <c r="Q88" s="1020">
        <f t="shared" si="31"/>
        <v>518400</v>
      </c>
      <c r="R88" s="1482">
        <f t="shared" si="33"/>
        <v>518400</v>
      </c>
      <c r="S88" s="1455">
        <f>R88-Q88</f>
        <v>0</v>
      </c>
      <c r="T88" s="1450">
        <f t="shared" si="32"/>
        <v>0</v>
      </c>
      <c r="U88" s="1450"/>
      <c r="V88" s="1450">
        <f t="shared" si="25"/>
        <v>0</v>
      </c>
      <c r="W88" s="1456"/>
      <c r="X88" s="1456"/>
      <c r="Y88" s="1456"/>
      <c r="Z88" s="1456"/>
      <c r="AA88" s="1456"/>
      <c r="AB88" s="1456"/>
      <c r="AC88" s="1456"/>
      <c r="AD88" s="1456"/>
      <c r="AE88" s="1456"/>
      <c r="AF88" s="1456"/>
      <c r="AG88" s="1456"/>
      <c r="AH88" s="1456"/>
      <c r="AI88" s="1456"/>
      <c r="AJ88" s="1456"/>
      <c r="AK88" s="1456"/>
      <c r="AL88" s="1456"/>
      <c r="AM88" s="1456"/>
      <c r="AN88" s="1456"/>
      <c r="AO88" s="1456"/>
      <c r="AP88" s="1456"/>
      <c r="AQ88" s="1456"/>
      <c r="AR88" s="1456"/>
      <c r="AS88" s="1456"/>
      <c r="AT88" s="1456"/>
      <c r="AU88" s="1456"/>
    </row>
    <row r="89" spans="1:47" s="1041" customFormat="1" ht="78.75" hidden="1">
      <c r="A89" s="1017" t="s">
        <v>967</v>
      </c>
      <c r="B89" s="1017" t="s">
        <v>341</v>
      </c>
      <c r="C89" s="1017" t="s">
        <v>11</v>
      </c>
      <c r="D89" s="1018" t="s">
        <v>966</v>
      </c>
      <c r="E89" s="1020">
        <f t="shared" si="29"/>
        <v>0</v>
      </c>
      <c r="F89" s="1020">
        <f>10500400-10500400</f>
        <v>0</v>
      </c>
      <c r="G89" s="1020"/>
      <c r="H89" s="1020"/>
      <c r="I89" s="1020"/>
      <c r="J89" s="1020">
        <f t="shared" si="30"/>
        <v>0</v>
      </c>
      <c r="K89" s="1040"/>
      <c r="L89" s="1040"/>
      <c r="M89" s="1040"/>
      <c r="N89" s="1020"/>
      <c r="O89" s="1040"/>
      <c r="P89" s="1040"/>
      <c r="Q89" s="1020">
        <f>+J89+E89</f>
        <v>0</v>
      </c>
      <c r="R89" s="1005">
        <f t="shared" si="33"/>
        <v>0</v>
      </c>
      <c r="S89" s="1083"/>
      <c r="T89" s="1006">
        <f t="shared" si="32"/>
        <v>0</v>
      </c>
      <c r="U89" s="1197"/>
      <c r="V89" s="1197"/>
    </row>
    <row r="90" spans="1:47" s="195" customFormat="1" ht="124.9" hidden="1" customHeight="1">
      <c r="A90" s="42" t="s">
        <v>487</v>
      </c>
      <c r="B90" s="42" t="s">
        <v>342</v>
      </c>
      <c r="C90" s="42" t="s">
        <v>165</v>
      </c>
      <c r="D90" s="40" t="s">
        <v>488</v>
      </c>
      <c r="E90" s="319">
        <f t="shared" si="29"/>
        <v>0</v>
      </c>
      <c r="F90" s="319"/>
      <c r="G90" s="319"/>
      <c r="H90" s="319"/>
      <c r="I90" s="319"/>
      <c r="J90" s="319">
        <f t="shared" si="30"/>
        <v>0</v>
      </c>
      <c r="K90" s="322"/>
      <c r="L90" s="322"/>
      <c r="M90" s="322"/>
      <c r="N90" s="319"/>
      <c r="O90" s="322"/>
      <c r="P90" s="322"/>
      <c r="Q90" s="319">
        <f>+J90+E90</f>
        <v>0</v>
      </c>
      <c r="R90" s="1481">
        <f t="shared" si="33"/>
        <v>0</v>
      </c>
      <c r="S90" s="284">
        <f t="shared" si="28"/>
        <v>0</v>
      </c>
      <c r="T90" s="1006">
        <f t="shared" si="32"/>
        <v>0</v>
      </c>
      <c r="U90" s="536"/>
      <c r="V90" s="536">
        <f t="shared" si="25"/>
        <v>0</v>
      </c>
    </row>
    <row r="91" spans="1:47" s="1041" customFormat="1" ht="66" customHeight="1">
      <c r="A91" s="1017" t="s">
        <v>489</v>
      </c>
      <c r="B91" s="1017" t="s">
        <v>490</v>
      </c>
      <c r="C91" s="1017" t="s">
        <v>165</v>
      </c>
      <c r="D91" s="1018" t="s">
        <v>491</v>
      </c>
      <c r="E91" s="1020">
        <f t="shared" si="29"/>
        <v>1601100</v>
      </c>
      <c r="F91" s="1020">
        <v>1601100</v>
      </c>
      <c r="G91" s="1020"/>
      <c r="H91" s="1020"/>
      <c r="I91" s="1020"/>
      <c r="J91" s="1020">
        <f t="shared" si="30"/>
        <v>0</v>
      </c>
      <c r="K91" s="1040"/>
      <c r="L91" s="1040"/>
      <c r="M91" s="1040"/>
      <c r="N91" s="1020"/>
      <c r="O91" s="1040"/>
      <c r="P91" s="1040"/>
      <c r="Q91" s="1020">
        <f>+J91+E91</f>
        <v>1601100</v>
      </c>
      <c r="R91" s="1482">
        <f t="shared" si="33"/>
        <v>1601100</v>
      </c>
      <c r="S91" s="1455">
        <f t="shared" si="28"/>
        <v>0</v>
      </c>
      <c r="T91" s="1450">
        <f t="shared" si="32"/>
        <v>0</v>
      </c>
      <c r="U91" s="1450"/>
      <c r="V91" s="1450">
        <f t="shared" si="25"/>
        <v>0</v>
      </c>
      <c r="W91" s="1456"/>
      <c r="X91" s="1456"/>
      <c r="Y91" s="1456"/>
      <c r="Z91" s="1456"/>
      <c r="AA91" s="1456"/>
      <c r="AB91" s="1456"/>
      <c r="AC91" s="1456"/>
      <c r="AD91" s="1456"/>
      <c r="AE91" s="1456"/>
      <c r="AF91" s="1456"/>
      <c r="AG91" s="1456"/>
      <c r="AH91" s="1456"/>
      <c r="AI91" s="1456"/>
      <c r="AJ91" s="1456"/>
      <c r="AK91" s="1456"/>
      <c r="AL91" s="1456"/>
      <c r="AM91" s="1456"/>
      <c r="AN91" s="1456"/>
      <c r="AO91" s="1456"/>
      <c r="AP91" s="1456"/>
      <c r="AQ91" s="1456"/>
      <c r="AR91" s="1456"/>
      <c r="AS91" s="1456"/>
      <c r="AT91" s="1456"/>
      <c r="AU91" s="1456"/>
    </row>
    <row r="92" spans="1:47" s="1041" customFormat="1" ht="31.5">
      <c r="A92" s="1017" t="s">
        <v>492</v>
      </c>
      <c r="B92" s="1017" t="s">
        <v>493</v>
      </c>
      <c r="C92" s="1017" t="s">
        <v>165</v>
      </c>
      <c r="D92" s="1018" t="s">
        <v>784</v>
      </c>
      <c r="E92" s="1020">
        <f t="shared" si="29"/>
        <v>3000</v>
      </c>
      <c r="F92" s="1020">
        <v>3000</v>
      </c>
      <c r="G92" s="1020"/>
      <c r="H92" s="1020"/>
      <c r="I92" s="1020"/>
      <c r="J92" s="1020">
        <f t="shared" si="30"/>
        <v>0</v>
      </c>
      <c r="K92" s="1040"/>
      <c r="L92" s="1040"/>
      <c r="M92" s="1040"/>
      <c r="N92" s="1020"/>
      <c r="O92" s="1040"/>
      <c r="P92" s="1040"/>
      <c r="Q92" s="1020">
        <f>+J92+E92</f>
        <v>3000</v>
      </c>
      <c r="R92" s="1482">
        <f t="shared" si="33"/>
        <v>3000</v>
      </c>
      <c r="S92" s="1455">
        <f t="shared" si="28"/>
        <v>0</v>
      </c>
      <c r="T92" s="1450">
        <f t="shared" si="32"/>
        <v>0</v>
      </c>
      <c r="U92" s="1450"/>
      <c r="V92" s="1450">
        <f t="shared" si="25"/>
        <v>0</v>
      </c>
      <c r="W92" s="1456"/>
      <c r="X92" s="1456"/>
      <c r="Y92" s="1456"/>
      <c r="Z92" s="1456"/>
      <c r="AA92" s="1456"/>
      <c r="AB92" s="1456"/>
      <c r="AC92" s="1456"/>
      <c r="AD92" s="1456"/>
      <c r="AE92" s="1456"/>
      <c r="AF92" s="1456"/>
      <c r="AG92" s="1456"/>
      <c r="AH92" s="1456"/>
      <c r="AI92" s="1456"/>
      <c r="AJ92" s="1456"/>
      <c r="AK92" s="1456"/>
      <c r="AL92" s="1456"/>
      <c r="AM92" s="1456"/>
      <c r="AN92" s="1456"/>
      <c r="AO92" s="1456"/>
      <c r="AP92" s="1456"/>
      <c r="AQ92" s="1456"/>
      <c r="AR92" s="1456"/>
      <c r="AS92" s="1456"/>
      <c r="AT92" s="1456"/>
      <c r="AU92" s="1456"/>
    </row>
    <row r="93" spans="1:47" s="1041" customFormat="1" ht="63">
      <c r="A93" s="1017" t="s">
        <v>832</v>
      </c>
      <c r="B93" s="1017" t="s">
        <v>578</v>
      </c>
      <c r="C93" s="1017" t="s">
        <v>163</v>
      </c>
      <c r="D93" s="1018" t="s">
        <v>867</v>
      </c>
      <c r="E93" s="1020">
        <f t="shared" si="29"/>
        <v>500000</v>
      </c>
      <c r="F93" s="1020">
        <v>500000</v>
      </c>
      <c r="G93" s="1020"/>
      <c r="H93" s="1020"/>
      <c r="I93" s="1020"/>
      <c r="J93" s="1020">
        <f>K93+N93</f>
        <v>0</v>
      </c>
      <c r="K93" s="1040"/>
      <c r="L93" s="1040"/>
      <c r="M93" s="1040"/>
      <c r="N93" s="1020"/>
      <c r="O93" s="1040"/>
      <c r="P93" s="1040"/>
      <c r="Q93" s="1013">
        <f t="shared" si="31"/>
        <v>500000</v>
      </c>
      <c r="R93" s="1482">
        <f t="shared" si="33"/>
        <v>500000</v>
      </c>
      <c r="S93" s="1455"/>
      <c r="T93" s="1450">
        <f t="shared" si="32"/>
        <v>0</v>
      </c>
      <c r="U93" s="1450"/>
      <c r="V93" s="1450">
        <f t="shared" si="25"/>
        <v>0</v>
      </c>
      <c r="W93" s="1456"/>
      <c r="X93" s="1456"/>
      <c r="Y93" s="1456"/>
      <c r="Z93" s="1456"/>
      <c r="AA93" s="1456"/>
      <c r="AB93" s="1456"/>
      <c r="AC93" s="1456"/>
      <c r="AD93" s="1456"/>
      <c r="AE93" s="1456"/>
      <c r="AF93" s="1456"/>
      <c r="AG93" s="1456"/>
      <c r="AH93" s="1456"/>
      <c r="AI93" s="1456"/>
      <c r="AJ93" s="1456"/>
      <c r="AK93" s="1456"/>
      <c r="AL93" s="1456"/>
      <c r="AM93" s="1456"/>
      <c r="AN93" s="1456"/>
      <c r="AO93" s="1456"/>
      <c r="AP93" s="1456"/>
      <c r="AQ93" s="1456"/>
      <c r="AR93" s="1456"/>
      <c r="AS93" s="1456"/>
      <c r="AT93" s="1456"/>
      <c r="AU93" s="1456"/>
    </row>
    <row r="94" spans="1:47" ht="47.25">
      <c r="A94" s="1015" t="s">
        <v>494</v>
      </c>
      <c r="B94" s="1015" t="s">
        <v>152</v>
      </c>
      <c r="C94" s="1015" t="s">
        <v>5</v>
      </c>
      <c r="D94" s="1043" t="s">
        <v>171</v>
      </c>
      <c r="E94" s="1013">
        <f t="shared" si="29"/>
        <v>16467100</v>
      </c>
      <c r="F94" s="1013">
        <v>16467100</v>
      </c>
      <c r="G94" s="1013">
        <v>11644700</v>
      </c>
      <c r="H94" s="1013">
        <v>701300</v>
      </c>
      <c r="I94" s="1013"/>
      <c r="J94" s="1013">
        <f>+K94+N94</f>
        <v>560000</v>
      </c>
      <c r="K94" s="1032"/>
      <c r="L94" s="1032"/>
      <c r="M94" s="1032"/>
      <c r="N94" s="1013">
        <v>560000</v>
      </c>
      <c r="O94" s="1032">
        <v>560000</v>
      </c>
      <c r="P94" s="1032">
        <v>560000</v>
      </c>
      <c r="Q94" s="1013">
        <f t="shared" si="31"/>
        <v>17027100</v>
      </c>
      <c r="R94" s="1482">
        <f t="shared" si="33"/>
        <v>17027100</v>
      </c>
      <c r="S94" s="1455">
        <f t="shared" si="28"/>
        <v>0</v>
      </c>
      <c r="T94" s="1450">
        <f t="shared" si="32"/>
        <v>0</v>
      </c>
      <c r="U94" s="1450"/>
      <c r="V94" s="1450">
        <f t="shared" si="25"/>
        <v>0</v>
      </c>
      <c r="W94" s="1449"/>
      <c r="X94" s="1449"/>
      <c r="Y94" s="1449"/>
      <c r="Z94" s="1449"/>
      <c r="AA94" s="1449"/>
      <c r="AB94" s="1449"/>
      <c r="AC94" s="1449"/>
      <c r="AD94" s="1449"/>
      <c r="AE94" s="1449"/>
      <c r="AF94" s="1449"/>
      <c r="AG94" s="1449"/>
      <c r="AH94" s="1449"/>
      <c r="AI94" s="1449"/>
      <c r="AJ94" s="1449"/>
      <c r="AK94" s="1449"/>
      <c r="AL94" s="1449"/>
      <c r="AM94" s="1449"/>
      <c r="AN94" s="1449"/>
      <c r="AO94" s="1449"/>
      <c r="AP94" s="1449"/>
      <c r="AQ94" s="1449"/>
      <c r="AR94" s="1449"/>
      <c r="AS94" s="1449"/>
      <c r="AT94" s="1449"/>
      <c r="AU94" s="1449"/>
    </row>
    <row r="95" spans="1:47" s="298" customFormat="1" ht="328.9" customHeight="1">
      <c r="A95" s="293" t="s">
        <v>499</v>
      </c>
      <c r="B95" s="293" t="s">
        <v>500</v>
      </c>
      <c r="C95" s="293" t="s">
        <v>67</v>
      </c>
      <c r="D95" s="45" t="s">
        <v>2063</v>
      </c>
      <c r="E95" s="47"/>
      <c r="F95" s="47"/>
      <c r="G95" s="47"/>
      <c r="H95" s="47"/>
      <c r="I95" s="47"/>
      <c r="J95" s="1394">
        <f>+K95+N95</f>
        <v>3549885.11</v>
      </c>
      <c r="K95" s="1395"/>
      <c r="L95" s="1396"/>
      <c r="M95" s="1396"/>
      <c r="N95" s="1394">
        <v>3549885.11</v>
      </c>
      <c r="O95" s="1394">
        <v>3549885.11</v>
      </c>
      <c r="P95" s="1394">
        <v>3549885.11</v>
      </c>
      <c r="Q95" s="1394">
        <f>J95+E95</f>
        <v>3549885.11</v>
      </c>
      <c r="R95" s="1482">
        <f t="shared" si="33"/>
        <v>3549885.11</v>
      </c>
      <c r="S95" s="1455">
        <f t="shared" si="28"/>
        <v>0</v>
      </c>
      <c r="T95" s="1450">
        <f t="shared" si="32"/>
        <v>0</v>
      </c>
      <c r="U95" s="1450"/>
      <c r="V95" s="1450">
        <f t="shared" si="25"/>
        <v>0</v>
      </c>
      <c r="W95" s="1463"/>
      <c r="X95" s="1463"/>
      <c r="Y95" s="1463"/>
      <c r="Z95" s="1463"/>
      <c r="AA95" s="1463"/>
      <c r="AB95" s="1463"/>
      <c r="AC95" s="1463"/>
      <c r="AD95" s="1463"/>
      <c r="AE95" s="1463"/>
      <c r="AF95" s="1463"/>
      <c r="AG95" s="1463"/>
      <c r="AH95" s="1463"/>
      <c r="AI95" s="1463"/>
      <c r="AJ95" s="1463"/>
      <c r="AK95" s="1463"/>
      <c r="AL95" s="1463"/>
      <c r="AM95" s="1463"/>
      <c r="AN95" s="1463"/>
      <c r="AO95" s="1463"/>
      <c r="AP95" s="1463"/>
      <c r="AQ95" s="1463"/>
      <c r="AR95" s="1463"/>
      <c r="AS95" s="1463"/>
      <c r="AT95" s="1463"/>
      <c r="AU95" s="1463"/>
    </row>
    <row r="96" spans="1:47" s="298" customFormat="1" ht="268.89999999999998" customHeight="1">
      <c r="A96" s="293" t="s">
        <v>929</v>
      </c>
      <c r="B96" s="293" t="s">
        <v>930</v>
      </c>
      <c r="C96" s="293" t="s">
        <v>67</v>
      </c>
      <c r="D96" s="442" t="s">
        <v>2078</v>
      </c>
      <c r="E96" s="47"/>
      <c r="F96" s="47"/>
      <c r="G96" s="47"/>
      <c r="H96" s="47"/>
      <c r="I96" s="47"/>
      <c r="J96" s="1394">
        <f>K96+N96</f>
        <v>620821.81999999995</v>
      </c>
      <c r="K96" s="1395"/>
      <c r="L96" s="1396"/>
      <c r="M96" s="1396"/>
      <c r="N96" s="1394">
        <v>620821.81999999995</v>
      </c>
      <c r="O96" s="1394">
        <v>620821.81999999995</v>
      </c>
      <c r="P96" s="1394">
        <v>620821.81999999995</v>
      </c>
      <c r="Q96" s="1394">
        <f>J96</f>
        <v>620821.81999999995</v>
      </c>
      <c r="R96" s="1482">
        <f t="shared" si="33"/>
        <v>620821.81999999995</v>
      </c>
      <c r="S96" s="1455"/>
      <c r="T96" s="1450">
        <f t="shared" si="32"/>
        <v>0</v>
      </c>
      <c r="U96" s="1450"/>
      <c r="V96" s="1450">
        <f t="shared" si="25"/>
        <v>0</v>
      </c>
      <c r="W96" s="1463"/>
      <c r="X96" s="1463"/>
      <c r="Y96" s="1463"/>
      <c r="Z96" s="1463"/>
      <c r="AA96" s="1463"/>
      <c r="AB96" s="1463"/>
      <c r="AC96" s="1463"/>
      <c r="AD96" s="1463"/>
      <c r="AE96" s="1463"/>
      <c r="AF96" s="1463"/>
      <c r="AG96" s="1463"/>
      <c r="AH96" s="1463"/>
      <c r="AI96" s="1463"/>
      <c r="AJ96" s="1463"/>
      <c r="AK96" s="1463"/>
      <c r="AL96" s="1463"/>
      <c r="AM96" s="1463"/>
      <c r="AN96" s="1463"/>
      <c r="AO96" s="1463"/>
      <c r="AP96" s="1463"/>
      <c r="AQ96" s="1463"/>
      <c r="AR96" s="1463"/>
      <c r="AS96" s="1463"/>
      <c r="AT96" s="1463"/>
      <c r="AU96" s="1463"/>
    </row>
    <row r="97" spans="1:47" ht="47.25">
      <c r="A97" s="1017" t="s">
        <v>496</v>
      </c>
      <c r="B97" s="1017" t="s">
        <v>497</v>
      </c>
      <c r="C97" s="1017">
        <v>1090</v>
      </c>
      <c r="D97" s="1018" t="s">
        <v>498</v>
      </c>
      <c r="E97" s="1026">
        <f t="shared" ref="E97:E104" si="34">F97+I97</f>
        <v>1364300</v>
      </c>
      <c r="F97" s="1013">
        <v>1364300</v>
      </c>
      <c r="G97" s="1013">
        <v>741100</v>
      </c>
      <c r="H97" s="1013">
        <v>68600</v>
      </c>
      <c r="I97" s="1013"/>
      <c r="J97" s="1026">
        <f>+K97+N97</f>
        <v>8000</v>
      </c>
      <c r="K97" s="1032"/>
      <c r="L97" s="1032"/>
      <c r="M97" s="1032"/>
      <c r="N97" s="1013">
        <v>8000</v>
      </c>
      <c r="O97" s="1032">
        <v>8000</v>
      </c>
      <c r="P97" s="1032">
        <v>8000</v>
      </c>
      <c r="Q97" s="1013">
        <f t="shared" ref="Q97:Q104" si="35">+J97+E97</f>
        <v>1372300</v>
      </c>
      <c r="R97" s="1482">
        <f t="shared" si="33"/>
        <v>1372300</v>
      </c>
      <c r="S97" s="1455">
        <f t="shared" si="28"/>
        <v>0</v>
      </c>
      <c r="T97" s="1450">
        <f t="shared" si="32"/>
        <v>0</v>
      </c>
      <c r="U97" s="1450"/>
      <c r="V97" s="1450">
        <f t="shared" si="25"/>
        <v>0</v>
      </c>
      <c r="W97" s="1449"/>
      <c r="X97" s="1449"/>
      <c r="Y97" s="1449"/>
      <c r="Z97" s="1449"/>
      <c r="AA97" s="1449"/>
      <c r="AB97" s="1449"/>
      <c r="AC97" s="1449"/>
      <c r="AD97" s="1449"/>
      <c r="AE97" s="1449"/>
      <c r="AF97" s="1449"/>
      <c r="AG97" s="1449"/>
      <c r="AH97" s="1449"/>
      <c r="AI97" s="1449"/>
      <c r="AJ97" s="1449"/>
      <c r="AK97" s="1449"/>
      <c r="AL97" s="1449"/>
      <c r="AM97" s="1449"/>
      <c r="AN97" s="1449"/>
      <c r="AO97" s="1449"/>
      <c r="AP97" s="1449"/>
      <c r="AQ97" s="1449"/>
      <c r="AR97" s="1449"/>
      <c r="AS97" s="1449"/>
      <c r="AT97" s="1449"/>
      <c r="AU97" s="1449"/>
    </row>
    <row r="98" spans="1:47" ht="31.5">
      <c r="A98" s="1017" t="s">
        <v>495</v>
      </c>
      <c r="B98" s="1017">
        <v>3242</v>
      </c>
      <c r="C98" s="1017">
        <v>1090</v>
      </c>
      <c r="D98" s="1018" t="s">
        <v>387</v>
      </c>
      <c r="E98" s="1026">
        <f t="shared" si="34"/>
        <v>7787100</v>
      </c>
      <c r="F98" s="1013">
        <v>7787100</v>
      </c>
      <c r="G98" s="1013"/>
      <c r="H98" s="1013"/>
      <c r="I98" s="1013"/>
      <c r="J98" s="1026">
        <f>+K98+N98</f>
        <v>0</v>
      </c>
      <c r="K98" s="1032"/>
      <c r="L98" s="1032"/>
      <c r="M98" s="1032"/>
      <c r="N98" s="1013"/>
      <c r="O98" s="1032"/>
      <c r="P98" s="1032"/>
      <c r="Q98" s="1013">
        <f t="shared" si="35"/>
        <v>7787100</v>
      </c>
      <c r="R98" s="1482">
        <f t="shared" si="33"/>
        <v>7787100</v>
      </c>
      <c r="S98" s="1455">
        <f t="shared" si="28"/>
        <v>0</v>
      </c>
      <c r="T98" s="1450">
        <f t="shared" si="32"/>
        <v>0</v>
      </c>
      <c r="U98" s="1450"/>
      <c r="V98" s="1450">
        <f t="shared" si="25"/>
        <v>0</v>
      </c>
      <c r="W98" s="1449"/>
      <c r="X98" s="1449"/>
      <c r="Y98" s="1449"/>
      <c r="Z98" s="1449"/>
      <c r="AA98" s="1449"/>
      <c r="AB98" s="1449"/>
      <c r="AC98" s="1449"/>
      <c r="AD98" s="1449"/>
      <c r="AE98" s="1449"/>
      <c r="AF98" s="1449"/>
      <c r="AG98" s="1449"/>
      <c r="AH98" s="1449"/>
      <c r="AI98" s="1449"/>
      <c r="AJ98" s="1449"/>
      <c r="AK98" s="1449"/>
      <c r="AL98" s="1449"/>
      <c r="AM98" s="1449"/>
      <c r="AN98" s="1449"/>
      <c r="AO98" s="1449"/>
      <c r="AP98" s="1449"/>
      <c r="AQ98" s="1449"/>
      <c r="AR98" s="1449"/>
      <c r="AS98" s="1449"/>
      <c r="AT98" s="1449"/>
      <c r="AU98" s="1449"/>
    </row>
    <row r="99" spans="1:47" s="449" customFormat="1" ht="354" customHeight="1">
      <c r="A99" s="293" t="s">
        <v>914</v>
      </c>
      <c r="B99" s="293" t="s">
        <v>627</v>
      </c>
      <c r="C99" s="293" t="s">
        <v>7</v>
      </c>
      <c r="D99" s="446" t="s">
        <v>2064</v>
      </c>
      <c r="E99" s="1394">
        <f t="shared" si="34"/>
        <v>15703771.890000001</v>
      </c>
      <c r="F99" s="1394"/>
      <c r="G99" s="1394"/>
      <c r="H99" s="1394"/>
      <c r="I99" s="1394">
        <v>15703771.890000001</v>
      </c>
      <c r="J99" s="47">
        <f>+K99+N99</f>
        <v>0</v>
      </c>
      <c r="K99" s="47"/>
      <c r="L99" s="47"/>
      <c r="M99" s="47"/>
      <c r="N99" s="47"/>
      <c r="O99" s="47"/>
      <c r="P99" s="47"/>
      <c r="Q99" s="317">
        <f t="shared" si="35"/>
        <v>15703771.890000001</v>
      </c>
      <c r="R99" s="1482">
        <f t="shared" si="33"/>
        <v>15703771.890000001</v>
      </c>
      <c r="S99" s="1455">
        <f t="shared" si="28"/>
        <v>0</v>
      </c>
      <c r="T99" s="1450">
        <f t="shared" si="32"/>
        <v>0</v>
      </c>
      <c r="U99" s="1450"/>
      <c r="V99" s="1450">
        <f t="shared" si="25"/>
        <v>0</v>
      </c>
      <c r="W99" s="1464"/>
      <c r="X99" s="1464"/>
      <c r="Y99" s="1464"/>
      <c r="Z99" s="1464"/>
      <c r="AA99" s="1464"/>
      <c r="AB99" s="1464"/>
      <c r="AC99" s="1464"/>
      <c r="AD99" s="1464"/>
      <c r="AE99" s="1464"/>
      <c r="AF99" s="1464"/>
      <c r="AG99" s="1464"/>
      <c r="AH99" s="1464"/>
      <c r="AI99" s="1464"/>
      <c r="AJ99" s="1464"/>
      <c r="AK99" s="1464"/>
      <c r="AL99" s="1464"/>
      <c r="AM99" s="1464"/>
      <c r="AN99" s="1464"/>
      <c r="AO99" s="1464"/>
      <c r="AP99" s="1464"/>
      <c r="AQ99" s="1464"/>
      <c r="AR99" s="1464"/>
      <c r="AS99" s="1464"/>
      <c r="AT99" s="1464"/>
      <c r="AU99" s="1464"/>
    </row>
    <row r="100" spans="1:47" s="449" customFormat="1" ht="409.15" customHeight="1">
      <c r="A100" s="441" t="s">
        <v>941</v>
      </c>
      <c r="B100" s="441" t="s">
        <v>942</v>
      </c>
      <c r="C100" s="441" t="s">
        <v>7</v>
      </c>
      <c r="D100" s="446" t="s">
        <v>1194</v>
      </c>
      <c r="E100" s="47">
        <f t="shared" si="34"/>
        <v>938511</v>
      </c>
      <c r="F100" s="447"/>
      <c r="G100" s="447"/>
      <c r="H100" s="447"/>
      <c r="I100" s="447">
        <v>938511</v>
      </c>
      <c r="J100" s="47"/>
      <c r="K100" s="448"/>
      <c r="L100" s="447"/>
      <c r="M100" s="447"/>
      <c r="N100" s="447"/>
      <c r="O100" s="447"/>
      <c r="P100" s="447"/>
      <c r="Q100" s="316">
        <f t="shared" si="35"/>
        <v>938511</v>
      </c>
      <c r="R100" s="1482">
        <f t="shared" si="33"/>
        <v>938511</v>
      </c>
      <c r="S100" s="1455"/>
      <c r="T100" s="1450">
        <f t="shared" si="32"/>
        <v>0</v>
      </c>
      <c r="U100" s="1450"/>
      <c r="V100" s="1450">
        <f t="shared" si="25"/>
        <v>0</v>
      </c>
      <c r="W100" s="1464"/>
      <c r="X100" s="1464"/>
      <c r="Y100" s="1464"/>
      <c r="Z100" s="1464"/>
      <c r="AA100" s="1464"/>
      <c r="AB100" s="1464"/>
      <c r="AC100" s="1464"/>
      <c r="AD100" s="1464"/>
      <c r="AE100" s="1464"/>
      <c r="AF100" s="1464"/>
      <c r="AG100" s="1464"/>
      <c r="AH100" s="1464"/>
      <c r="AI100" s="1464"/>
      <c r="AJ100" s="1464"/>
      <c r="AK100" s="1464"/>
      <c r="AL100" s="1464"/>
      <c r="AM100" s="1464"/>
      <c r="AN100" s="1464"/>
      <c r="AO100" s="1464"/>
      <c r="AP100" s="1464"/>
      <c r="AQ100" s="1464"/>
      <c r="AR100" s="1464"/>
      <c r="AS100" s="1464"/>
      <c r="AT100" s="1464"/>
      <c r="AU100" s="1464"/>
    </row>
    <row r="101" spans="1:47" s="24" customFormat="1" ht="302.45" customHeight="1">
      <c r="A101" s="42" t="s">
        <v>931</v>
      </c>
      <c r="B101" s="42" t="s">
        <v>932</v>
      </c>
      <c r="C101" s="42" t="s">
        <v>7</v>
      </c>
      <c r="D101" s="442" t="s">
        <v>2065</v>
      </c>
      <c r="E101" s="1394">
        <f t="shared" si="34"/>
        <v>11534501.18</v>
      </c>
      <c r="F101" s="50"/>
      <c r="G101" s="50"/>
      <c r="H101" s="50"/>
      <c r="I101" s="50">
        <v>11534501.18</v>
      </c>
      <c r="J101" s="50">
        <f>+K101+N101</f>
        <v>0</v>
      </c>
      <c r="K101" s="1397"/>
      <c r="L101" s="1397"/>
      <c r="M101" s="1397"/>
      <c r="N101" s="50"/>
      <c r="O101" s="1397"/>
      <c r="P101" s="1397"/>
      <c r="Q101" s="317">
        <f t="shared" si="35"/>
        <v>11534501.18</v>
      </c>
      <c r="R101" s="1482">
        <f t="shared" si="33"/>
        <v>11534501.18</v>
      </c>
      <c r="S101" s="1455">
        <f t="shared" si="28"/>
        <v>0</v>
      </c>
      <c r="T101" s="1450">
        <f t="shared" si="32"/>
        <v>0</v>
      </c>
      <c r="U101" s="1450"/>
      <c r="V101" s="1450">
        <f t="shared" si="25"/>
        <v>0</v>
      </c>
      <c r="W101" s="1448"/>
      <c r="X101" s="1448"/>
      <c r="Y101" s="1448"/>
      <c r="Z101" s="1448"/>
      <c r="AA101" s="1448"/>
      <c r="AB101" s="1448"/>
      <c r="AC101" s="1448"/>
      <c r="AD101" s="1448"/>
      <c r="AE101" s="1448"/>
      <c r="AF101" s="1448"/>
      <c r="AG101" s="1448"/>
      <c r="AH101" s="1448"/>
      <c r="AI101" s="1448"/>
      <c r="AJ101" s="1448"/>
      <c r="AK101" s="1448"/>
      <c r="AL101" s="1448"/>
      <c r="AM101" s="1448"/>
      <c r="AN101" s="1448"/>
      <c r="AO101" s="1448"/>
      <c r="AP101" s="1448"/>
      <c r="AQ101" s="1448"/>
      <c r="AR101" s="1448"/>
      <c r="AS101" s="1448"/>
      <c r="AT101" s="1448"/>
      <c r="AU101" s="1448"/>
    </row>
    <row r="102" spans="1:47" s="24" customFormat="1" ht="277.14999999999998" customHeight="1">
      <c r="A102" s="42" t="s">
        <v>2066</v>
      </c>
      <c r="B102" s="42" t="s">
        <v>2067</v>
      </c>
      <c r="C102" s="42" t="s">
        <v>7</v>
      </c>
      <c r="D102" s="442" t="s">
        <v>2068</v>
      </c>
      <c r="E102" s="47">
        <f>F102+I102</f>
        <v>1239284</v>
      </c>
      <c r="F102" s="46"/>
      <c r="G102" s="46"/>
      <c r="H102" s="46"/>
      <c r="I102" s="46">
        <v>1239284</v>
      </c>
      <c r="J102" s="46">
        <f>+K102+N102</f>
        <v>0</v>
      </c>
      <c r="K102" s="48"/>
      <c r="L102" s="48"/>
      <c r="M102" s="48"/>
      <c r="N102" s="46"/>
      <c r="O102" s="48"/>
      <c r="P102" s="48"/>
      <c r="Q102" s="316">
        <f>+J102+E102</f>
        <v>1239284</v>
      </c>
      <c r="R102" s="1482">
        <f t="shared" si="33"/>
        <v>1239284</v>
      </c>
      <c r="S102" s="1455"/>
      <c r="T102" s="1450"/>
      <c r="U102" s="1450"/>
      <c r="V102" s="1450"/>
      <c r="W102" s="1448"/>
      <c r="X102" s="1448"/>
      <c r="Y102" s="1448"/>
      <c r="Z102" s="1448"/>
      <c r="AA102" s="1448"/>
      <c r="AB102" s="1448"/>
      <c r="AC102" s="1448"/>
      <c r="AD102" s="1448"/>
      <c r="AE102" s="1448"/>
      <c r="AF102" s="1448"/>
      <c r="AG102" s="1448"/>
      <c r="AH102" s="1448"/>
      <c r="AI102" s="1448"/>
      <c r="AJ102" s="1448"/>
      <c r="AK102" s="1448"/>
      <c r="AL102" s="1448"/>
      <c r="AM102" s="1448"/>
      <c r="AN102" s="1448"/>
      <c r="AO102" s="1448"/>
      <c r="AP102" s="1448"/>
      <c r="AQ102" s="1448"/>
      <c r="AR102" s="1448"/>
      <c r="AS102" s="1448"/>
      <c r="AT102" s="1448"/>
      <c r="AU102" s="1448"/>
    </row>
    <row r="103" spans="1:47" s="24" customFormat="1" ht="225.6" customHeight="1">
      <c r="A103" s="1076" t="s">
        <v>2107</v>
      </c>
      <c r="B103" s="1076" t="s">
        <v>621</v>
      </c>
      <c r="C103" s="1076" t="s">
        <v>7</v>
      </c>
      <c r="D103" s="1077" t="s">
        <v>972</v>
      </c>
      <c r="E103" s="1414">
        <f t="shared" si="34"/>
        <v>23151526.07</v>
      </c>
      <c r="F103" s="50">
        <v>23151526.07</v>
      </c>
      <c r="G103" s="50"/>
      <c r="H103" s="50"/>
      <c r="I103" s="50"/>
      <c r="J103" s="50"/>
      <c r="K103" s="1415"/>
      <c r="L103" s="1397"/>
      <c r="M103" s="1397"/>
      <c r="N103" s="50"/>
      <c r="O103" s="1397"/>
      <c r="P103" s="1397"/>
      <c r="Q103" s="1414">
        <f t="shared" si="35"/>
        <v>23151526.07</v>
      </c>
      <c r="R103" s="1482">
        <f t="shared" si="33"/>
        <v>23151526.07</v>
      </c>
      <c r="S103" s="1455"/>
      <c r="T103" s="1450"/>
      <c r="U103" s="1450"/>
      <c r="V103" s="1450"/>
      <c r="W103" s="1448"/>
      <c r="X103" s="1448"/>
      <c r="Y103" s="1448"/>
      <c r="Z103" s="1448"/>
      <c r="AA103" s="1448"/>
      <c r="AB103" s="1448"/>
      <c r="AC103" s="1448"/>
      <c r="AD103" s="1448"/>
      <c r="AE103" s="1448"/>
      <c r="AF103" s="1448"/>
      <c r="AG103" s="1448"/>
      <c r="AH103" s="1448"/>
      <c r="AI103" s="1448"/>
      <c r="AJ103" s="1448"/>
      <c r="AK103" s="1448"/>
      <c r="AL103" s="1448"/>
      <c r="AM103" s="1448"/>
      <c r="AN103" s="1448"/>
      <c r="AO103" s="1448"/>
      <c r="AP103" s="1448"/>
      <c r="AQ103" s="1448"/>
      <c r="AR103" s="1448"/>
      <c r="AS103" s="1448"/>
      <c r="AT103" s="1448"/>
      <c r="AU103" s="1448"/>
    </row>
    <row r="104" spans="1:47" s="992" customFormat="1" ht="15.75">
      <c r="A104" s="1015" t="s">
        <v>729</v>
      </c>
      <c r="B104" s="1015" t="s">
        <v>401</v>
      </c>
      <c r="C104" s="1015" t="s">
        <v>7</v>
      </c>
      <c r="D104" s="1043" t="s">
        <v>474</v>
      </c>
      <c r="E104" s="1013">
        <f t="shared" si="34"/>
        <v>24330500</v>
      </c>
      <c r="F104" s="1013">
        <f>13830100+10500400</f>
        <v>24330500</v>
      </c>
      <c r="G104" s="1013"/>
      <c r="H104" s="1013"/>
      <c r="I104" s="1013"/>
      <c r="J104" s="1026">
        <f>+K104+N104</f>
        <v>0</v>
      </c>
      <c r="K104" s="1031"/>
      <c r="L104" s="1032"/>
      <c r="M104" s="1032"/>
      <c r="N104" s="1013"/>
      <c r="O104" s="1032"/>
      <c r="P104" s="1032"/>
      <c r="Q104" s="1013">
        <f t="shared" si="35"/>
        <v>24330500</v>
      </c>
      <c r="R104" s="1482">
        <f t="shared" si="33"/>
        <v>24330500</v>
      </c>
      <c r="S104" s="1460">
        <f t="shared" si="28"/>
        <v>0</v>
      </c>
      <c r="T104" s="1450">
        <f t="shared" si="32"/>
        <v>0</v>
      </c>
      <c r="U104" s="1465"/>
      <c r="V104" s="1465">
        <f t="shared" si="25"/>
        <v>0</v>
      </c>
      <c r="W104" s="1448"/>
      <c r="X104" s="1448"/>
      <c r="Y104" s="1448"/>
      <c r="Z104" s="1448"/>
      <c r="AA104" s="1448"/>
      <c r="AB104" s="1448"/>
      <c r="AC104" s="1448"/>
      <c r="AD104" s="1448"/>
      <c r="AE104" s="1448"/>
      <c r="AF104" s="1448"/>
      <c r="AG104" s="1448"/>
      <c r="AH104" s="1448"/>
      <c r="AI104" s="1448"/>
      <c r="AJ104" s="1448"/>
      <c r="AK104" s="1448"/>
      <c r="AL104" s="1448"/>
      <c r="AM104" s="1448"/>
      <c r="AN104" s="1448"/>
      <c r="AO104" s="1448"/>
      <c r="AP104" s="1448"/>
      <c r="AQ104" s="1448"/>
      <c r="AR104" s="1448"/>
      <c r="AS104" s="1448"/>
      <c r="AT104" s="1448"/>
      <c r="AU104" s="1448"/>
    </row>
    <row r="105" spans="1:47" s="992" customFormat="1" ht="31.5">
      <c r="A105" s="1033" t="s">
        <v>504</v>
      </c>
      <c r="B105" s="1033"/>
      <c r="C105" s="1033"/>
      <c r="D105" s="1024" t="s">
        <v>298</v>
      </c>
      <c r="E105" s="908">
        <f t="shared" ref="E105:Q105" si="36">E107+E108+E109+E111+E110</f>
        <v>25734000</v>
      </c>
      <c r="F105" s="908">
        <f t="shared" si="36"/>
        <v>7834700</v>
      </c>
      <c r="G105" s="908">
        <f t="shared" si="36"/>
        <v>4026890</v>
      </c>
      <c r="H105" s="908">
        <f t="shared" si="36"/>
        <v>719700</v>
      </c>
      <c r="I105" s="908">
        <f t="shared" si="36"/>
        <v>17899300</v>
      </c>
      <c r="J105" s="908">
        <f t="shared" si="36"/>
        <v>2895000</v>
      </c>
      <c r="K105" s="908">
        <f t="shared" si="36"/>
        <v>0</v>
      </c>
      <c r="L105" s="908">
        <f t="shared" si="36"/>
        <v>0</v>
      </c>
      <c r="M105" s="908">
        <f t="shared" si="36"/>
        <v>0</v>
      </c>
      <c r="N105" s="908">
        <f t="shared" si="36"/>
        <v>2895000</v>
      </c>
      <c r="O105" s="908">
        <f t="shared" si="36"/>
        <v>2895000</v>
      </c>
      <c r="P105" s="908">
        <f t="shared" si="36"/>
        <v>2895000</v>
      </c>
      <c r="Q105" s="908">
        <f t="shared" si="36"/>
        <v>28629000</v>
      </c>
      <c r="R105" s="1482">
        <f t="shared" si="33"/>
        <v>28629000</v>
      </c>
      <c r="S105" s="1455">
        <f t="shared" si="28"/>
        <v>0</v>
      </c>
      <c r="T105" s="1450">
        <f t="shared" si="32"/>
        <v>0</v>
      </c>
      <c r="U105" s="1450"/>
      <c r="V105" s="1450">
        <f t="shared" si="25"/>
        <v>0</v>
      </c>
      <c r="W105" s="1448"/>
      <c r="X105" s="1448"/>
      <c r="Y105" s="1448"/>
      <c r="Z105" s="1448"/>
      <c r="AA105" s="1448"/>
      <c r="AB105" s="1448"/>
      <c r="AC105" s="1448"/>
      <c r="AD105" s="1448"/>
      <c r="AE105" s="1448"/>
      <c r="AF105" s="1448"/>
      <c r="AG105" s="1448"/>
      <c r="AH105" s="1448"/>
      <c r="AI105" s="1448"/>
      <c r="AJ105" s="1448"/>
      <c r="AK105" s="1448"/>
      <c r="AL105" s="1448"/>
      <c r="AM105" s="1448"/>
      <c r="AN105" s="1448"/>
      <c r="AO105" s="1448"/>
      <c r="AP105" s="1448"/>
      <c r="AQ105" s="1448"/>
      <c r="AR105" s="1448"/>
      <c r="AS105" s="1448"/>
      <c r="AT105" s="1448"/>
      <c r="AU105" s="1448"/>
    </row>
    <row r="106" spans="1:47" s="992" customFormat="1" ht="31.5">
      <c r="A106" s="1033" t="s">
        <v>505</v>
      </c>
      <c r="B106" s="1033"/>
      <c r="C106" s="1033"/>
      <c r="D106" s="1024" t="s">
        <v>298</v>
      </c>
      <c r="E106" s="908">
        <f>SUM(E107:E111)</f>
        <v>25734000</v>
      </c>
      <c r="F106" s="908">
        <f t="shared" ref="F106:Q106" si="37">SUM(F107:F111)</f>
        <v>7834700</v>
      </c>
      <c r="G106" s="908">
        <f t="shared" si="37"/>
        <v>4026890</v>
      </c>
      <c r="H106" s="908">
        <f t="shared" si="37"/>
        <v>719700</v>
      </c>
      <c r="I106" s="908">
        <f t="shared" si="37"/>
        <v>17899300</v>
      </c>
      <c r="J106" s="908">
        <f t="shared" si="37"/>
        <v>2895000</v>
      </c>
      <c r="K106" s="908">
        <f t="shared" si="37"/>
        <v>0</v>
      </c>
      <c r="L106" s="908">
        <f t="shared" si="37"/>
        <v>0</v>
      </c>
      <c r="M106" s="908">
        <f t="shared" si="37"/>
        <v>0</v>
      </c>
      <c r="N106" s="908">
        <f t="shared" si="37"/>
        <v>2895000</v>
      </c>
      <c r="O106" s="908">
        <f t="shared" si="37"/>
        <v>2895000</v>
      </c>
      <c r="P106" s="908">
        <f t="shared" si="37"/>
        <v>2895000</v>
      </c>
      <c r="Q106" s="908">
        <f t="shared" si="37"/>
        <v>28629000</v>
      </c>
      <c r="R106" s="1482">
        <f t="shared" si="33"/>
        <v>28629000</v>
      </c>
      <c r="S106" s="1455">
        <f t="shared" si="28"/>
        <v>0</v>
      </c>
      <c r="T106" s="1450">
        <f t="shared" si="32"/>
        <v>0</v>
      </c>
      <c r="U106" s="1450"/>
      <c r="V106" s="1450">
        <f t="shared" si="25"/>
        <v>0</v>
      </c>
      <c r="W106" s="1448"/>
      <c r="X106" s="1448"/>
      <c r="Y106" s="1448"/>
      <c r="Z106" s="1448"/>
      <c r="AA106" s="1448"/>
      <c r="AB106" s="1448"/>
      <c r="AC106" s="1448"/>
      <c r="AD106" s="1448"/>
      <c r="AE106" s="1448"/>
      <c r="AF106" s="1448"/>
      <c r="AG106" s="1448"/>
      <c r="AH106" s="1448"/>
      <c r="AI106" s="1448"/>
      <c r="AJ106" s="1448"/>
      <c r="AK106" s="1448"/>
      <c r="AL106" s="1448"/>
      <c r="AM106" s="1448"/>
      <c r="AN106" s="1448"/>
      <c r="AO106" s="1448"/>
      <c r="AP106" s="1448"/>
      <c r="AQ106" s="1448"/>
      <c r="AR106" s="1448"/>
      <c r="AS106" s="1448"/>
      <c r="AT106" s="1448"/>
      <c r="AU106" s="1448"/>
    </row>
    <row r="107" spans="1:47" s="992" customFormat="1" ht="51.6" customHeight="1">
      <c r="A107" s="1017" t="s">
        <v>506</v>
      </c>
      <c r="B107" s="1017" t="s">
        <v>334</v>
      </c>
      <c r="C107" s="1038" t="s">
        <v>11</v>
      </c>
      <c r="D107" s="1039" t="s">
        <v>77</v>
      </c>
      <c r="E107" s="1013">
        <f>F107+I107</f>
        <v>7314000</v>
      </c>
      <c r="F107" s="1013">
        <v>7314000</v>
      </c>
      <c r="G107" s="1013">
        <v>4002300</v>
      </c>
      <c r="H107" s="1013">
        <v>719700</v>
      </c>
      <c r="I107" s="1013"/>
      <c r="J107" s="1013">
        <f>+K107+N107</f>
        <v>0</v>
      </c>
      <c r="K107" s="1032"/>
      <c r="L107" s="1032"/>
      <c r="M107" s="1032"/>
      <c r="N107" s="1013"/>
      <c r="O107" s="1032"/>
      <c r="P107" s="1032"/>
      <c r="Q107" s="1013">
        <f>+J107+E107</f>
        <v>7314000</v>
      </c>
      <c r="R107" s="1482">
        <f t="shared" si="33"/>
        <v>7314000</v>
      </c>
      <c r="S107" s="1455">
        <f t="shared" si="28"/>
        <v>0</v>
      </c>
      <c r="T107" s="1450">
        <f t="shared" si="32"/>
        <v>0</v>
      </c>
      <c r="U107" s="1450"/>
      <c r="V107" s="1450">
        <f t="shared" si="25"/>
        <v>0</v>
      </c>
      <c r="W107" s="1448"/>
      <c r="X107" s="1448"/>
      <c r="Y107" s="1448"/>
      <c r="Z107" s="1448"/>
      <c r="AA107" s="1448"/>
      <c r="AB107" s="1448"/>
      <c r="AC107" s="1448"/>
      <c r="AD107" s="1448"/>
      <c r="AE107" s="1448"/>
      <c r="AF107" s="1448"/>
      <c r="AG107" s="1448"/>
      <c r="AH107" s="1448"/>
      <c r="AI107" s="1448"/>
      <c r="AJ107" s="1448"/>
      <c r="AK107" s="1448"/>
      <c r="AL107" s="1448"/>
      <c r="AM107" s="1448"/>
      <c r="AN107" s="1448"/>
      <c r="AO107" s="1448"/>
      <c r="AP107" s="1448"/>
      <c r="AQ107" s="1448"/>
      <c r="AR107" s="1448"/>
      <c r="AS107" s="1448"/>
      <c r="AT107" s="1448"/>
      <c r="AU107" s="1448"/>
    </row>
    <row r="108" spans="1:47" s="992" customFormat="1" ht="31.5">
      <c r="A108" s="1017" t="s">
        <v>507</v>
      </c>
      <c r="B108" s="1017" t="s">
        <v>172</v>
      </c>
      <c r="C108" s="1038" t="s">
        <v>11</v>
      </c>
      <c r="D108" s="1039" t="s">
        <v>1</v>
      </c>
      <c r="E108" s="1013">
        <f>F108+I108</f>
        <v>369200</v>
      </c>
      <c r="F108" s="1013">
        <v>369200</v>
      </c>
      <c r="G108" s="1013">
        <v>24590</v>
      </c>
      <c r="H108" s="1013"/>
      <c r="I108" s="1013"/>
      <c r="J108" s="1013">
        <f>+K108+N108</f>
        <v>0</v>
      </c>
      <c r="K108" s="1032"/>
      <c r="L108" s="1032"/>
      <c r="M108" s="1032"/>
      <c r="N108" s="1013"/>
      <c r="O108" s="1032"/>
      <c r="P108" s="1032"/>
      <c r="Q108" s="1013">
        <f>+J108+E108</f>
        <v>369200</v>
      </c>
      <c r="R108" s="1482">
        <f t="shared" si="33"/>
        <v>369200</v>
      </c>
      <c r="S108" s="1455">
        <f t="shared" si="28"/>
        <v>0</v>
      </c>
      <c r="T108" s="1450">
        <f t="shared" si="32"/>
        <v>0</v>
      </c>
      <c r="U108" s="1450"/>
      <c r="V108" s="1450">
        <f t="shared" si="25"/>
        <v>0</v>
      </c>
      <c r="W108" s="1448"/>
      <c r="X108" s="1448"/>
      <c r="Y108" s="1448"/>
      <c r="Z108" s="1448"/>
      <c r="AA108" s="1448"/>
      <c r="AB108" s="1448"/>
      <c r="AC108" s="1448"/>
      <c r="AD108" s="1448"/>
      <c r="AE108" s="1448"/>
      <c r="AF108" s="1448"/>
      <c r="AG108" s="1448"/>
      <c r="AH108" s="1448"/>
      <c r="AI108" s="1448"/>
      <c r="AJ108" s="1448"/>
      <c r="AK108" s="1448"/>
      <c r="AL108" s="1448"/>
      <c r="AM108" s="1448"/>
      <c r="AN108" s="1448"/>
      <c r="AO108" s="1448"/>
      <c r="AP108" s="1448"/>
      <c r="AQ108" s="1448"/>
      <c r="AR108" s="1448"/>
      <c r="AS108" s="1448"/>
      <c r="AT108" s="1448"/>
      <c r="AU108" s="1448"/>
    </row>
    <row r="109" spans="1:47" s="992" customFormat="1" ht="47.25">
      <c r="A109" s="1017" t="s">
        <v>508</v>
      </c>
      <c r="B109" s="1017" t="s">
        <v>337</v>
      </c>
      <c r="C109" s="1017" t="s">
        <v>11</v>
      </c>
      <c r="D109" s="1018" t="s">
        <v>203</v>
      </c>
      <c r="E109" s="1020">
        <f>F109+I109</f>
        <v>151500</v>
      </c>
      <c r="F109" s="1020">
        <v>151500</v>
      </c>
      <c r="G109" s="1020"/>
      <c r="H109" s="1020"/>
      <c r="I109" s="1020"/>
      <c r="J109" s="1020">
        <f>+K109+N109</f>
        <v>0</v>
      </c>
      <c r="K109" s="1040"/>
      <c r="L109" s="1040"/>
      <c r="M109" s="1040"/>
      <c r="N109" s="1020"/>
      <c r="O109" s="1040"/>
      <c r="P109" s="1040"/>
      <c r="Q109" s="1020">
        <f>+J109+E109</f>
        <v>151500</v>
      </c>
      <c r="R109" s="1482">
        <f t="shared" si="33"/>
        <v>151500</v>
      </c>
      <c r="S109" s="1455">
        <f t="shared" si="28"/>
        <v>0</v>
      </c>
      <c r="T109" s="1450">
        <f t="shared" si="32"/>
        <v>0</v>
      </c>
      <c r="U109" s="1450"/>
      <c r="V109" s="1450">
        <f t="shared" si="25"/>
        <v>0</v>
      </c>
      <c r="W109" s="1448"/>
      <c r="X109" s="1448"/>
      <c r="Y109" s="1448"/>
      <c r="Z109" s="1448"/>
      <c r="AA109" s="1448"/>
      <c r="AB109" s="1448"/>
      <c r="AC109" s="1448"/>
      <c r="AD109" s="1448"/>
      <c r="AE109" s="1448"/>
      <c r="AF109" s="1448"/>
      <c r="AG109" s="1448"/>
      <c r="AH109" s="1448"/>
      <c r="AI109" s="1448"/>
      <c r="AJ109" s="1448"/>
      <c r="AK109" s="1448"/>
      <c r="AL109" s="1448"/>
      <c r="AM109" s="1448"/>
      <c r="AN109" s="1448"/>
      <c r="AO109" s="1448"/>
      <c r="AP109" s="1448"/>
      <c r="AQ109" s="1448"/>
      <c r="AR109" s="1448"/>
      <c r="AS109" s="1448"/>
      <c r="AT109" s="1448"/>
      <c r="AU109" s="1448"/>
    </row>
    <row r="110" spans="1:47" s="569" customFormat="1" ht="146.44999999999999" customHeight="1">
      <c r="A110" s="293" t="s">
        <v>730</v>
      </c>
      <c r="B110" s="293" t="s">
        <v>731</v>
      </c>
      <c r="C110" s="293" t="s">
        <v>7</v>
      </c>
      <c r="D110" s="45" t="s">
        <v>1195</v>
      </c>
      <c r="E110" s="316">
        <f>F110+I110</f>
        <v>17899300</v>
      </c>
      <c r="F110" s="319"/>
      <c r="G110" s="319"/>
      <c r="H110" s="319"/>
      <c r="I110" s="322">
        <v>17899300</v>
      </c>
      <c r="J110" s="316">
        <f>+K110+N110</f>
        <v>0</v>
      </c>
      <c r="K110" s="322"/>
      <c r="L110" s="322"/>
      <c r="M110" s="322"/>
      <c r="N110" s="319"/>
      <c r="O110" s="322"/>
      <c r="P110" s="322"/>
      <c r="Q110" s="316">
        <f>+J110+E110</f>
        <v>17899300</v>
      </c>
      <c r="R110" s="1482">
        <f t="shared" si="33"/>
        <v>17899300</v>
      </c>
      <c r="S110" s="1455">
        <f t="shared" si="28"/>
        <v>0</v>
      </c>
      <c r="T110" s="1450">
        <f t="shared" si="32"/>
        <v>0</v>
      </c>
      <c r="U110" s="1450"/>
      <c r="V110" s="1450">
        <f t="shared" si="25"/>
        <v>0</v>
      </c>
      <c r="W110" s="1448"/>
      <c r="X110" s="1448"/>
      <c r="Y110" s="1448"/>
      <c r="Z110" s="1448"/>
      <c r="AA110" s="1448"/>
      <c r="AB110" s="1448"/>
      <c r="AC110" s="1448"/>
      <c r="AD110" s="1448"/>
      <c r="AE110" s="1448"/>
      <c r="AF110" s="1448"/>
      <c r="AG110" s="1448"/>
      <c r="AH110" s="1448"/>
      <c r="AI110" s="1448"/>
      <c r="AJ110" s="1448"/>
      <c r="AK110" s="1448"/>
      <c r="AL110" s="1448"/>
      <c r="AM110" s="1448"/>
      <c r="AN110" s="1448"/>
      <c r="AO110" s="1448"/>
      <c r="AP110" s="1448"/>
      <c r="AQ110" s="1448"/>
      <c r="AR110" s="1448"/>
      <c r="AS110" s="1448"/>
      <c r="AT110" s="1448"/>
      <c r="AU110" s="1448"/>
    </row>
    <row r="111" spans="1:47" s="992" customFormat="1" ht="15.75">
      <c r="A111" s="1015" t="s">
        <v>509</v>
      </c>
      <c r="B111" s="1015" t="s">
        <v>401</v>
      </c>
      <c r="C111" s="1015" t="s">
        <v>7</v>
      </c>
      <c r="D111" s="1022" t="s">
        <v>402</v>
      </c>
      <c r="E111" s="1013">
        <f>F111+I111</f>
        <v>0</v>
      </c>
      <c r="F111" s="1013"/>
      <c r="G111" s="1013"/>
      <c r="H111" s="1013"/>
      <c r="I111" s="1013"/>
      <c r="J111" s="1013">
        <f>+K111+N111</f>
        <v>2895000</v>
      </c>
      <c r="K111" s="1032"/>
      <c r="L111" s="1032"/>
      <c r="M111" s="1032"/>
      <c r="N111" s="1020">
        <v>2895000</v>
      </c>
      <c r="O111" s="1040">
        <v>2895000</v>
      </c>
      <c r="P111" s="1040">
        <v>2895000</v>
      </c>
      <c r="Q111" s="1013">
        <f>+J111+E111</f>
        <v>2895000</v>
      </c>
      <c r="R111" s="1482">
        <f t="shared" si="33"/>
        <v>2895000</v>
      </c>
      <c r="S111" s="1455">
        <f t="shared" si="28"/>
        <v>0</v>
      </c>
      <c r="T111" s="1450">
        <f t="shared" si="32"/>
        <v>0</v>
      </c>
      <c r="U111" s="1450"/>
      <c r="V111" s="1450">
        <f t="shared" si="25"/>
        <v>0</v>
      </c>
      <c r="W111" s="1448"/>
      <c r="X111" s="1448"/>
      <c r="Y111" s="1448"/>
      <c r="Z111" s="1448"/>
      <c r="AA111" s="1448"/>
      <c r="AB111" s="1448"/>
      <c r="AC111" s="1448"/>
      <c r="AD111" s="1448"/>
      <c r="AE111" s="1448"/>
      <c r="AF111" s="1448"/>
      <c r="AG111" s="1448"/>
      <c r="AH111" s="1448"/>
      <c r="AI111" s="1448"/>
      <c r="AJ111" s="1448"/>
      <c r="AK111" s="1448"/>
      <c r="AL111" s="1448"/>
      <c r="AM111" s="1448"/>
      <c r="AN111" s="1448"/>
      <c r="AO111" s="1448"/>
      <c r="AP111" s="1448"/>
      <c r="AQ111" s="1448"/>
      <c r="AR111" s="1448"/>
      <c r="AS111" s="1448"/>
      <c r="AT111" s="1448"/>
      <c r="AU111" s="1448"/>
    </row>
    <row r="112" spans="1:47" s="1036" customFormat="1" ht="47.25">
      <c r="A112" s="1033" t="s">
        <v>257</v>
      </c>
      <c r="B112" s="1033"/>
      <c r="C112" s="1033"/>
      <c r="D112" s="1024" t="s">
        <v>590</v>
      </c>
      <c r="E112" s="908">
        <f t="shared" ref="E112:Q112" si="38">E115+E116+E117+E118+E119+E120+E121+E124+E123+E126+E122+E125+E127</f>
        <v>145869760</v>
      </c>
      <c r="F112" s="908">
        <f t="shared" si="38"/>
        <v>145869760</v>
      </c>
      <c r="G112" s="908">
        <f t="shared" si="38"/>
        <v>29722300</v>
      </c>
      <c r="H112" s="908">
        <f t="shared" si="38"/>
        <v>3487600</v>
      </c>
      <c r="I112" s="908">
        <f t="shared" si="38"/>
        <v>0</v>
      </c>
      <c r="J112" s="908">
        <f t="shared" si="38"/>
        <v>5155289</v>
      </c>
      <c r="K112" s="908">
        <f t="shared" si="38"/>
        <v>2733640</v>
      </c>
      <c r="L112" s="908">
        <f t="shared" si="38"/>
        <v>384400</v>
      </c>
      <c r="M112" s="908">
        <f t="shared" si="38"/>
        <v>40400</v>
      </c>
      <c r="N112" s="908">
        <f t="shared" si="38"/>
        <v>2421649</v>
      </c>
      <c r="O112" s="908">
        <f t="shared" si="38"/>
        <v>2370649</v>
      </c>
      <c r="P112" s="908">
        <f t="shared" si="38"/>
        <v>2370649</v>
      </c>
      <c r="Q112" s="908">
        <f t="shared" si="38"/>
        <v>151025049</v>
      </c>
      <c r="R112" s="1482">
        <f t="shared" si="33"/>
        <v>151025049</v>
      </c>
      <c r="S112" s="1455">
        <f t="shared" si="28"/>
        <v>0</v>
      </c>
      <c r="T112" s="1450">
        <f t="shared" si="32"/>
        <v>0</v>
      </c>
      <c r="U112" s="1450"/>
      <c r="V112" s="1450">
        <f t="shared" si="25"/>
        <v>-51000</v>
      </c>
      <c r="W112" s="1459"/>
      <c r="X112" s="1459"/>
      <c r="Y112" s="1459"/>
      <c r="Z112" s="1459"/>
      <c r="AA112" s="1459"/>
      <c r="AB112" s="1459"/>
      <c r="AC112" s="1459"/>
      <c r="AD112" s="1459"/>
      <c r="AE112" s="1459"/>
      <c r="AF112" s="1459"/>
      <c r="AG112" s="1459"/>
      <c r="AH112" s="1459"/>
      <c r="AI112" s="1459"/>
      <c r="AJ112" s="1459"/>
      <c r="AK112" s="1459"/>
      <c r="AL112" s="1459"/>
      <c r="AM112" s="1459"/>
      <c r="AN112" s="1459"/>
      <c r="AO112" s="1459"/>
      <c r="AP112" s="1459"/>
      <c r="AQ112" s="1459"/>
      <c r="AR112" s="1459"/>
      <c r="AS112" s="1459"/>
      <c r="AT112" s="1459"/>
      <c r="AU112" s="1459"/>
    </row>
    <row r="113" spans="1:63" s="1036" customFormat="1" ht="47.25">
      <c r="A113" s="1033" t="s">
        <v>258</v>
      </c>
      <c r="B113" s="1033"/>
      <c r="C113" s="1033"/>
      <c r="D113" s="1024" t="s">
        <v>590</v>
      </c>
      <c r="E113" s="908">
        <f>SUM(E115:E127)</f>
        <v>145869760</v>
      </c>
      <c r="F113" s="908">
        <f t="shared" ref="F113:Q113" si="39">SUM(F115:F127)</f>
        <v>145869760</v>
      </c>
      <c r="G113" s="908">
        <f t="shared" si="39"/>
        <v>29722300</v>
      </c>
      <c r="H113" s="908">
        <f t="shared" si="39"/>
        <v>3487600</v>
      </c>
      <c r="I113" s="908">
        <f t="shared" si="39"/>
        <v>0</v>
      </c>
      <c r="J113" s="908">
        <f t="shared" si="39"/>
        <v>5155289</v>
      </c>
      <c r="K113" s="908">
        <f t="shared" si="39"/>
        <v>2733640</v>
      </c>
      <c r="L113" s="908">
        <f t="shared" si="39"/>
        <v>384400</v>
      </c>
      <c r="M113" s="908">
        <f t="shared" si="39"/>
        <v>40400</v>
      </c>
      <c r="N113" s="908">
        <f t="shared" si="39"/>
        <v>2421649</v>
      </c>
      <c r="O113" s="908">
        <f t="shared" si="39"/>
        <v>2370649</v>
      </c>
      <c r="P113" s="908">
        <f t="shared" si="39"/>
        <v>2370649</v>
      </c>
      <c r="Q113" s="908">
        <f t="shared" si="39"/>
        <v>151025049</v>
      </c>
      <c r="R113" s="1482">
        <f t="shared" si="33"/>
        <v>151025049</v>
      </c>
      <c r="S113" s="1455">
        <f t="shared" si="28"/>
        <v>0</v>
      </c>
      <c r="T113" s="1450">
        <f t="shared" si="32"/>
        <v>0</v>
      </c>
      <c r="U113" s="1450"/>
      <c r="V113" s="1450">
        <f t="shared" si="25"/>
        <v>-51000</v>
      </c>
      <c r="W113" s="1459"/>
      <c r="X113" s="1459"/>
      <c r="Y113" s="1459"/>
      <c r="Z113" s="1459"/>
      <c r="AA113" s="1459"/>
      <c r="AB113" s="1459"/>
      <c r="AC113" s="1459"/>
      <c r="AD113" s="1459"/>
      <c r="AE113" s="1459"/>
      <c r="AF113" s="1459"/>
      <c r="AG113" s="1459"/>
      <c r="AH113" s="1459"/>
      <c r="AI113" s="1459"/>
      <c r="AJ113" s="1459"/>
      <c r="AK113" s="1459"/>
      <c r="AL113" s="1459"/>
      <c r="AM113" s="1459"/>
      <c r="AN113" s="1459"/>
      <c r="AO113" s="1459"/>
      <c r="AP113" s="1459"/>
      <c r="AQ113" s="1459"/>
      <c r="AR113" s="1459"/>
      <c r="AS113" s="1459"/>
      <c r="AT113" s="1459"/>
      <c r="AU113" s="1459"/>
      <c r="BK113" s="1036" t="b">
        <f>дод3!D1=дод3!Q23+дод3!Q24+дод3!Q29+дод3!Q44+дод3!Q45+дод3!Q46+дод3!Q49+дод3!Q72+дод3!Q73+дод3!Q74+дод3!Q75+дод3!Q101+дод3!Q104+дод3!Q111+дод3!Q110+дод3!Q230+дод3!Q239+дод3!Q240+дод3!Q241+дод3!Q242+дод3!Q243+дод3!Q244+дод3!Q245+дод3!Q246+дод3!Q247+дод3!Q248+дод3!Q249+дод3!Q250+дод3!Q252+дод3!Q251+дод3!J207+дод3!Q99+дод3!Q47</f>
        <v>0</v>
      </c>
    </row>
    <row r="114" spans="1:63" s="1036" customFormat="1" ht="15.75" hidden="1">
      <c r="A114" s="1033"/>
      <c r="B114" s="1033"/>
      <c r="C114" s="1033"/>
      <c r="D114" s="1024"/>
      <c r="E114" s="1034">
        <f>E113-E115-E116</f>
        <v>97176190</v>
      </c>
      <c r="F114" s="1034">
        <f t="shared" ref="F114:Q114" si="40">F113-F115-F116</f>
        <v>97176190</v>
      </c>
      <c r="G114" s="1034">
        <f t="shared" si="40"/>
        <v>29117000</v>
      </c>
      <c r="H114" s="1034">
        <f t="shared" si="40"/>
        <v>3452400</v>
      </c>
      <c r="I114" s="1034">
        <f t="shared" si="40"/>
        <v>0</v>
      </c>
      <c r="J114" s="1034">
        <f t="shared" si="40"/>
        <v>3153449</v>
      </c>
      <c r="K114" s="1034">
        <f t="shared" si="40"/>
        <v>761800</v>
      </c>
      <c r="L114" s="1034">
        <f t="shared" si="40"/>
        <v>384400</v>
      </c>
      <c r="M114" s="1034">
        <f t="shared" si="40"/>
        <v>40400</v>
      </c>
      <c r="N114" s="1034">
        <f t="shared" si="40"/>
        <v>2391649</v>
      </c>
      <c r="O114" s="1034">
        <f t="shared" si="40"/>
        <v>2340649</v>
      </c>
      <c r="P114" s="1034">
        <f t="shared" si="40"/>
        <v>2340649</v>
      </c>
      <c r="Q114" s="1034">
        <f t="shared" si="40"/>
        <v>100329639</v>
      </c>
      <c r="R114" s="1481">
        <f t="shared" si="33"/>
        <v>100329639</v>
      </c>
      <c r="S114" s="1035"/>
      <c r="T114" s="1006">
        <f t="shared" si="32"/>
        <v>0</v>
      </c>
      <c r="U114" s="1006"/>
      <c r="V114" s="1006">
        <f t="shared" si="25"/>
        <v>-51000</v>
      </c>
      <c r="W114" s="1035"/>
    </row>
    <row r="115" spans="1:63" ht="61.15" customHeight="1">
      <c r="A115" s="1015" t="s">
        <v>218</v>
      </c>
      <c r="B115" s="1015" t="s">
        <v>20</v>
      </c>
      <c r="C115" s="1015" t="s">
        <v>21</v>
      </c>
      <c r="D115" s="1022" t="s">
        <v>421</v>
      </c>
      <c r="E115" s="1013">
        <f t="shared" ref="E115:E120" si="41">F115+I115</f>
        <v>47760070</v>
      </c>
      <c r="F115" s="1013">
        <v>47760070</v>
      </c>
      <c r="G115" s="1013"/>
      <c r="H115" s="1013"/>
      <c r="I115" s="1013"/>
      <c r="J115" s="1013">
        <f t="shared" ref="J115:J120" si="42">+K115+N115</f>
        <v>2001840</v>
      </c>
      <c r="K115" s="1032">
        <v>1971840</v>
      </c>
      <c r="L115" s="1032"/>
      <c r="M115" s="1032"/>
      <c r="N115" s="1013">
        <v>30000</v>
      </c>
      <c r="O115" s="1032">
        <v>30000</v>
      </c>
      <c r="P115" s="1032">
        <v>30000</v>
      </c>
      <c r="Q115" s="1013">
        <f t="shared" ref="Q115:Q120" si="43">+J115+E115</f>
        <v>49761910</v>
      </c>
      <c r="R115" s="1482">
        <f t="shared" si="33"/>
        <v>49761910</v>
      </c>
      <c r="S115" s="1455">
        <f t="shared" si="28"/>
        <v>0</v>
      </c>
      <c r="T115" s="1450">
        <f t="shared" si="32"/>
        <v>0</v>
      </c>
      <c r="U115" s="1450"/>
      <c r="V115" s="1450">
        <f t="shared" si="25"/>
        <v>0</v>
      </c>
      <c r="W115" s="1449"/>
      <c r="X115" s="1449"/>
      <c r="Y115" s="1449"/>
      <c r="Z115" s="1449"/>
      <c r="AA115" s="1449"/>
      <c r="AB115" s="1449"/>
      <c r="AC115" s="1449"/>
      <c r="AD115" s="1449"/>
      <c r="AE115" s="1449"/>
      <c r="AF115" s="1449"/>
      <c r="AG115" s="1449"/>
      <c r="AH115" s="1449"/>
      <c r="AI115" s="1449"/>
      <c r="AJ115" s="1449"/>
      <c r="AK115" s="1449"/>
      <c r="AL115" s="1449"/>
      <c r="AM115" s="1449"/>
      <c r="AN115" s="1449"/>
      <c r="AO115" s="1449"/>
      <c r="AP115" s="1449"/>
      <c r="AQ115" s="1449"/>
      <c r="AR115" s="1449"/>
      <c r="AS115" s="1449"/>
      <c r="AT115" s="1449"/>
      <c r="AU115" s="1449"/>
    </row>
    <row r="116" spans="1:63" ht="31.5">
      <c r="A116" s="1015" t="s">
        <v>364</v>
      </c>
      <c r="B116" s="1015" t="s">
        <v>8</v>
      </c>
      <c r="C116" s="1015" t="s">
        <v>9</v>
      </c>
      <c r="D116" s="1022" t="s">
        <v>403</v>
      </c>
      <c r="E116" s="1013">
        <f t="shared" si="41"/>
        <v>933500</v>
      </c>
      <c r="F116" s="1013">
        <v>933500</v>
      </c>
      <c r="G116" s="1013">
        <v>605300</v>
      </c>
      <c r="H116" s="1013">
        <v>35200</v>
      </c>
      <c r="I116" s="1013"/>
      <c r="J116" s="1013">
        <f t="shared" si="42"/>
        <v>0</v>
      </c>
      <c r="K116" s="1032"/>
      <c r="L116" s="1032"/>
      <c r="M116" s="1032"/>
      <c r="N116" s="1013"/>
      <c r="O116" s="1032"/>
      <c r="P116" s="1032"/>
      <c r="Q116" s="1013">
        <f t="shared" si="43"/>
        <v>933500</v>
      </c>
      <c r="R116" s="1482">
        <f t="shared" si="33"/>
        <v>933500</v>
      </c>
      <c r="S116" s="1455">
        <f t="shared" si="28"/>
        <v>0</v>
      </c>
      <c r="T116" s="1450">
        <f t="shared" si="32"/>
        <v>0</v>
      </c>
      <c r="U116" s="1450"/>
      <c r="V116" s="1450">
        <f t="shared" si="25"/>
        <v>0</v>
      </c>
      <c r="W116" s="1449"/>
      <c r="X116" s="1449"/>
      <c r="Y116" s="1449"/>
      <c r="Z116" s="1449"/>
      <c r="AA116" s="1449"/>
      <c r="AB116" s="1449"/>
      <c r="AC116" s="1449"/>
      <c r="AD116" s="1449"/>
      <c r="AE116" s="1449"/>
      <c r="AF116" s="1449"/>
      <c r="AG116" s="1449"/>
      <c r="AH116" s="1449"/>
      <c r="AI116" s="1449"/>
      <c r="AJ116" s="1449"/>
      <c r="AK116" s="1449"/>
      <c r="AL116" s="1449"/>
      <c r="AM116" s="1449"/>
      <c r="AN116" s="1449"/>
      <c r="AO116" s="1449"/>
      <c r="AP116" s="1449"/>
      <c r="AQ116" s="1449"/>
      <c r="AR116" s="1449"/>
      <c r="AS116" s="1449"/>
      <c r="AT116" s="1449"/>
      <c r="AU116" s="1449"/>
    </row>
    <row r="117" spans="1:63" ht="15.75">
      <c r="A117" s="1015" t="s">
        <v>512</v>
      </c>
      <c r="B117" s="1015" t="s">
        <v>513</v>
      </c>
      <c r="C117" s="1015" t="s">
        <v>273</v>
      </c>
      <c r="D117" s="1022" t="s">
        <v>514</v>
      </c>
      <c r="E117" s="1013">
        <f t="shared" si="41"/>
        <v>25213400</v>
      </c>
      <c r="F117" s="1013">
        <v>25213400</v>
      </c>
      <c r="G117" s="1013"/>
      <c r="H117" s="1013"/>
      <c r="I117" s="1013"/>
      <c r="J117" s="1013">
        <f t="shared" si="42"/>
        <v>0</v>
      </c>
      <c r="K117" s="1032"/>
      <c r="L117" s="1032"/>
      <c r="M117" s="1032"/>
      <c r="N117" s="1013"/>
      <c r="O117" s="1013"/>
      <c r="P117" s="1013"/>
      <c r="Q117" s="1013">
        <f t="shared" si="43"/>
        <v>25213400</v>
      </c>
      <c r="R117" s="1482">
        <f t="shared" si="33"/>
        <v>25213400</v>
      </c>
      <c r="S117" s="1455">
        <f t="shared" si="28"/>
        <v>0</v>
      </c>
      <c r="T117" s="1450">
        <f t="shared" si="32"/>
        <v>0</v>
      </c>
      <c r="U117" s="1450"/>
      <c r="V117" s="1450">
        <f t="shared" si="25"/>
        <v>0</v>
      </c>
      <c r="W117" s="1449"/>
      <c r="X117" s="1449"/>
      <c r="Y117" s="1449"/>
      <c r="Z117" s="1449"/>
      <c r="AA117" s="1449"/>
      <c r="AB117" s="1449"/>
      <c r="AC117" s="1449"/>
      <c r="AD117" s="1449"/>
      <c r="AE117" s="1449"/>
      <c r="AF117" s="1449"/>
      <c r="AG117" s="1449"/>
      <c r="AH117" s="1449"/>
      <c r="AI117" s="1449"/>
      <c r="AJ117" s="1449"/>
      <c r="AK117" s="1449"/>
      <c r="AL117" s="1449"/>
      <c r="AM117" s="1449"/>
      <c r="AN117" s="1449"/>
      <c r="AO117" s="1449"/>
      <c r="AP117" s="1449"/>
      <c r="AQ117" s="1449"/>
      <c r="AR117" s="1449"/>
      <c r="AS117" s="1449"/>
      <c r="AT117" s="1449"/>
      <c r="AU117" s="1449"/>
    </row>
    <row r="118" spans="1:63" ht="47.25">
      <c r="A118" s="1015" t="s">
        <v>510</v>
      </c>
      <c r="B118" s="1015" t="s">
        <v>272</v>
      </c>
      <c r="C118" s="1015" t="s">
        <v>275</v>
      </c>
      <c r="D118" s="1022" t="s">
        <v>515</v>
      </c>
      <c r="E118" s="1013">
        <f t="shared" si="41"/>
        <v>20823790</v>
      </c>
      <c r="F118" s="1013">
        <v>20823790</v>
      </c>
      <c r="G118" s="1013"/>
      <c r="H118" s="1013"/>
      <c r="I118" s="1013"/>
      <c r="J118" s="1013">
        <f t="shared" si="42"/>
        <v>0</v>
      </c>
      <c r="K118" s="1032"/>
      <c r="L118" s="1032"/>
      <c r="M118" s="1032"/>
      <c r="N118" s="1013"/>
      <c r="O118" s="1032"/>
      <c r="P118" s="1032"/>
      <c r="Q118" s="1013">
        <f t="shared" si="43"/>
        <v>20823790</v>
      </c>
      <c r="R118" s="1482">
        <f t="shared" si="33"/>
        <v>20823790</v>
      </c>
      <c r="S118" s="1455">
        <f t="shared" si="28"/>
        <v>0</v>
      </c>
      <c r="T118" s="1450">
        <f t="shared" si="32"/>
        <v>0</v>
      </c>
      <c r="U118" s="1450"/>
      <c r="V118" s="1450">
        <f t="shared" si="25"/>
        <v>0</v>
      </c>
      <c r="W118" s="1449"/>
      <c r="X118" s="1449"/>
      <c r="Y118" s="1449"/>
      <c r="Z118" s="1449"/>
      <c r="AA118" s="1449"/>
      <c r="AB118" s="1449"/>
      <c r="AC118" s="1449"/>
      <c r="AD118" s="1449"/>
      <c r="AE118" s="1449"/>
      <c r="AF118" s="1449"/>
      <c r="AG118" s="1449"/>
      <c r="AH118" s="1449"/>
      <c r="AI118" s="1449"/>
      <c r="AJ118" s="1449"/>
      <c r="AK118" s="1449"/>
      <c r="AL118" s="1449"/>
      <c r="AM118" s="1449"/>
      <c r="AN118" s="1449"/>
      <c r="AO118" s="1449"/>
      <c r="AP118" s="1449"/>
      <c r="AQ118" s="1449"/>
      <c r="AR118" s="1449"/>
      <c r="AS118" s="1449"/>
      <c r="AT118" s="1449"/>
      <c r="AU118" s="1449"/>
    </row>
    <row r="119" spans="1:63" ht="15.75">
      <c r="A119" s="1015" t="s">
        <v>511</v>
      </c>
      <c r="B119" s="1015" t="s">
        <v>274</v>
      </c>
      <c r="C119" s="1015" t="s">
        <v>159</v>
      </c>
      <c r="D119" s="1022" t="s">
        <v>463</v>
      </c>
      <c r="E119" s="1013">
        <f t="shared" si="41"/>
        <v>18326700</v>
      </c>
      <c r="F119" s="1013">
        <v>18326700</v>
      </c>
      <c r="G119" s="1013">
        <v>13170600</v>
      </c>
      <c r="H119" s="1013">
        <v>1335400</v>
      </c>
      <c r="I119" s="1013"/>
      <c r="J119" s="1013">
        <f t="shared" si="42"/>
        <v>823600</v>
      </c>
      <c r="K119" s="1032">
        <v>63000</v>
      </c>
      <c r="L119" s="1032">
        <v>36000</v>
      </c>
      <c r="M119" s="1032">
        <v>1800</v>
      </c>
      <c r="N119" s="1013">
        <f>1000+1259600-500000</f>
        <v>760600</v>
      </c>
      <c r="O119" s="1032">
        <f>1259600-500000</f>
        <v>759600</v>
      </c>
      <c r="P119" s="1032">
        <f>1259600-500000</f>
        <v>759600</v>
      </c>
      <c r="Q119" s="1013">
        <f t="shared" si="43"/>
        <v>19150300</v>
      </c>
      <c r="R119" s="1482">
        <f t="shared" si="33"/>
        <v>19150300</v>
      </c>
      <c r="S119" s="1455">
        <f t="shared" si="28"/>
        <v>0</v>
      </c>
      <c r="T119" s="1450">
        <f t="shared" si="32"/>
        <v>0</v>
      </c>
      <c r="U119" s="1450"/>
      <c r="V119" s="1450">
        <f t="shared" si="25"/>
        <v>-1000</v>
      </c>
      <c r="W119" s="1449"/>
      <c r="X119" s="1449"/>
      <c r="Y119" s="1449"/>
      <c r="Z119" s="1449"/>
      <c r="AA119" s="1449"/>
      <c r="AB119" s="1449"/>
      <c r="AC119" s="1449"/>
      <c r="AD119" s="1449"/>
      <c r="AE119" s="1449"/>
      <c r="AF119" s="1449"/>
      <c r="AG119" s="1449"/>
      <c r="AH119" s="1449"/>
      <c r="AI119" s="1449"/>
      <c r="AJ119" s="1449"/>
      <c r="AK119" s="1449"/>
      <c r="AL119" s="1449"/>
      <c r="AM119" s="1449"/>
      <c r="AN119" s="1449"/>
      <c r="AO119" s="1449"/>
      <c r="AP119" s="1449"/>
      <c r="AQ119" s="1449"/>
      <c r="AR119" s="1449"/>
      <c r="AS119" s="1449"/>
      <c r="AT119" s="1449"/>
      <c r="AU119" s="1449"/>
    </row>
    <row r="120" spans="1:63" ht="15.75">
      <c r="A120" s="1015" t="s">
        <v>516</v>
      </c>
      <c r="B120" s="1015" t="s">
        <v>517</v>
      </c>
      <c r="C120" s="1015" t="s">
        <v>159</v>
      </c>
      <c r="D120" s="1022" t="s">
        <v>518</v>
      </c>
      <c r="E120" s="1013">
        <f t="shared" si="41"/>
        <v>21554200</v>
      </c>
      <c r="F120" s="1013">
        <v>21554200</v>
      </c>
      <c r="G120" s="1013">
        <v>11992000</v>
      </c>
      <c r="H120" s="1013">
        <v>1895900</v>
      </c>
      <c r="I120" s="1013"/>
      <c r="J120" s="1013">
        <f t="shared" si="42"/>
        <v>2313049</v>
      </c>
      <c r="K120" s="1032">
        <v>683000</v>
      </c>
      <c r="L120" s="1032">
        <v>341100</v>
      </c>
      <c r="M120" s="1032">
        <v>38600</v>
      </c>
      <c r="N120" s="1026">
        <f>50000+1000000+580049</f>
        <v>1630049</v>
      </c>
      <c r="O120" s="1032">
        <f>1000000+580049</f>
        <v>1580049</v>
      </c>
      <c r="P120" s="1032">
        <f>1000000+580049</f>
        <v>1580049</v>
      </c>
      <c r="Q120" s="1013">
        <f t="shared" si="43"/>
        <v>23867249</v>
      </c>
      <c r="R120" s="1482">
        <f t="shared" si="33"/>
        <v>23867249</v>
      </c>
      <c r="S120" s="1455">
        <f t="shared" si="28"/>
        <v>0</v>
      </c>
      <c r="T120" s="1450">
        <f t="shared" si="32"/>
        <v>0</v>
      </c>
      <c r="U120" s="1450"/>
      <c r="V120" s="1450">
        <f t="shared" si="25"/>
        <v>-50000</v>
      </c>
      <c r="W120" s="1449"/>
      <c r="X120" s="1449"/>
      <c r="Y120" s="1449"/>
      <c r="Z120" s="1449"/>
      <c r="AA120" s="1449"/>
      <c r="AB120" s="1449"/>
      <c r="AC120" s="1449"/>
      <c r="AD120" s="1449"/>
      <c r="AE120" s="1449"/>
      <c r="AF120" s="1449"/>
      <c r="AG120" s="1449"/>
      <c r="AH120" s="1449"/>
      <c r="AI120" s="1449"/>
      <c r="AJ120" s="1449"/>
      <c r="AK120" s="1449"/>
      <c r="AL120" s="1449"/>
      <c r="AM120" s="1449"/>
      <c r="AN120" s="1449"/>
      <c r="AO120" s="1449"/>
      <c r="AP120" s="1449"/>
      <c r="AQ120" s="1449"/>
      <c r="AR120" s="1449"/>
      <c r="AS120" s="1449"/>
      <c r="AT120" s="1449"/>
      <c r="AU120" s="1449"/>
    </row>
    <row r="121" spans="1:63" s="1041" customFormat="1" ht="31.5">
      <c r="A121" s="1017" t="s">
        <v>641</v>
      </c>
      <c r="B121" s="1017" t="s">
        <v>642</v>
      </c>
      <c r="C121" s="1017" t="s">
        <v>276</v>
      </c>
      <c r="D121" s="1018" t="s">
        <v>643</v>
      </c>
      <c r="E121" s="1020">
        <f t="shared" ref="E121:E127" si="44">F121+I121</f>
        <v>6069100</v>
      </c>
      <c r="F121" s="1020">
        <v>6069100</v>
      </c>
      <c r="G121" s="1020">
        <v>3778900</v>
      </c>
      <c r="H121" s="1020">
        <v>221100</v>
      </c>
      <c r="I121" s="1020"/>
      <c r="J121" s="1020">
        <f t="shared" ref="J121:J127" si="45">+K121+N121</f>
        <v>15800</v>
      </c>
      <c r="K121" s="1040">
        <v>15800</v>
      </c>
      <c r="L121" s="1040">
        <v>7300</v>
      </c>
      <c r="M121" s="1040"/>
      <c r="N121" s="1020"/>
      <c r="O121" s="1020"/>
      <c r="P121" s="1020"/>
      <c r="Q121" s="1020">
        <f t="shared" ref="Q121:Q127" si="46">+J121+E121</f>
        <v>6084900</v>
      </c>
      <c r="R121" s="1482">
        <f t="shared" si="33"/>
        <v>6084900</v>
      </c>
      <c r="S121" s="1455">
        <f t="shared" si="28"/>
        <v>0</v>
      </c>
      <c r="T121" s="1450">
        <f t="shared" si="32"/>
        <v>0</v>
      </c>
      <c r="U121" s="1450"/>
      <c r="V121" s="1450">
        <f t="shared" si="25"/>
        <v>0</v>
      </c>
      <c r="W121" s="1456"/>
      <c r="X121" s="1456"/>
      <c r="Y121" s="1456"/>
      <c r="Z121" s="1456"/>
      <c r="AA121" s="1456"/>
      <c r="AB121" s="1456"/>
      <c r="AC121" s="1456"/>
      <c r="AD121" s="1456"/>
      <c r="AE121" s="1456"/>
      <c r="AF121" s="1456"/>
      <c r="AG121" s="1456"/>
      <c r="AH121" s="1456"/>
      <c r="AI121" s="1456"/>
      <c r="AJ121" s="1456"/>
      <c r="AK121" s="1456"/>
      <c r="AL121" s="1456"/>
      <c r="AM121" s="1456"/>
      <c r="AN121" s="1456"/>
      <c r="AO121" s="1456"/>
      <c r="AP121" s="1456"/>
      <c r="AQ121" s="1456"/>
      <c r="AR121" s="1456"/>
      <c r="AS121" s="1456"/>
      <c r="AT121" s="1456"/>
      <c r="AU121" s="1456"/>
    </row>
    <row r="122" spans="1:63" s="1041" customFormat="1" ht="15.75">
      <c r="A122" s="1017" t="s">
        <v>733</v>
      </c>
      <c r="B122" s="1017" t="s">
        <v>734</v>
      </c>
      <c r="C122" s="1017" t="s">
        <v>276</v>
      </c>
      <c r="D122" s="1018" t="s">
        <v>769</v>
      </c>
      <c r="E122" s="1020">
        <f t="shared" si="44"/>
        <v>4884000</v>
      </c>
      <c r="F122" s="1020">
        <v>4884000</v>
      </c>
      <c r="G122" s="1020">
        <v>175500</v>
      </c>
      <c r="H122" s="1020"/>
      <c r="I122" s="1020"/>
      <c r="J122" s="1020">
        <f t="shared" si="45"/>
        <v>0</v>
      </c>
      <c r="K122" s="1040"/>
      <c r="L122" s="1040"/>
      <c r="M122" s="1040"/>
      <c r="N122" s="1020"/>
      <c r="O122" s="1020"/>
      <c r="P122" s="1020"/>
      <c r="Q122" s="1020">
        <f t="shared" si="46"/>
        <v>4884000</v>
      </c>
      <c r="R122" s="1482">
        <f t="shared" si="33"/>
        <v>4884000</v>
      </c>
      <c r="S122" s="1455">
        <f t="shared" si="28"/>
        <v>0</v>
      </c>
      <c r="T122" s="1450">
        <f t="shared" si="32"/>
        <v>0</v>
      </c>
      <c r="U122" s="1450"/>
      <c r="V122" s="1450">
        <f t="shared" si="25"/>
        <v>0</v>
      </c>
      <c r="W122" s="1456"/>
      <c r="X122" s="1456"/>
      <c r="Y122" s="1456"/>
      <c r="Z122" s="1456"/>
      <c r="AA122" s="1456"/>
      <c r="AB122" s="1456"/>
      <c r="AC122" s="1456"/>
      <c r="AD122" s="1456"/>
      <c r="AE122" s="1456"/>
      <c r="AF122" s="1456"/>
      <c r="AG122" s="1456"/>
      <c r="AH122" s="1456"/>
      <c r="AI122" s="1456"/>
      <c r="AJ122" s="1456"/>
      <c r="AK122" s="1456"/>
      <c r="AL122" s="1456"/>
      <c r="AM122" s="1456"/>
      <c r="AN122" s="1456"/>
      <c r="AO122" s="1456"/>
      <c r="AP122" s="1456"/>
      <c r="AQ122" s="1456"/>
      <c r="AR122" s="1456"/>
      <c r="AS122" s="1456"/>
      <c r="AT122" s="1456"/>
      <c r="AU122" s="1456"/>
    </row>
    <row r="123" spans="1:63" s="1041" customFormat="1" ht="31.5">
      <c r="A123" s="1017" t="s">
        <v>778</v>
      </c>
      <c r="B123" s="1017" t="s">
        <v>777</v>
      </c>
      <c r="C123" s="1017" t="s">
        <v>521</v>
      </c>
      <c r="D123" s="1018" t="s">
        <v>806</v>
      </c>
      <c r="E123" s="1020">
        <f t="shared" si="44"/>
        <v>0</v>
      </c>
      <c r="F123" s="1020"/>
      <c r="G123" s="1020"/>
      <c r="H123" s="1020"/>
      <c r="I123" s="1020"/>
      <c r="J123" s="1020">
        <f t="shared" si="45"/>
        <v>1000</v>
      </c>
      <c r="K123" s="1040"/>
      <c r="L123" s="1040"/>
      <c r="M123" s="1040"/>
      <c r="N123" s="1020">
        <v>1000</v>
      </c>
      <c r="O123" s="1040">
        <v>1000</v>
      </c>
      <c r="P123" s="1040">
        <v>1000</v>
      </c>
      <c r="Q123" s="1020">
        <f t="shared" si="46"/>
        <v>1000</v>
      </c>
      <c r="R123" s="1482">
        <f t="shared" si="33"/>
        <v>1000</v>
      </c>
      <c r="S123" s="1466">
        <f t="shared" si="28"/>
        <v>0</v>
      </c>
      <c r="T123" s="1450">
        <f t="shared" si="32"/>
        <v>0</v>
      </c>
      <c r="U123" s="1450"/>
      <c r="V123" s="1450">
        <f t="shared" si="25"/>
        <v>0</v>
      </c>
      <c r="W123" s="1456"/>
      <c r="X123" s="1456"/>
      <c r="Y123" s="1456"/>
      <c r="Z123" s="1456"/>
      <c r="AA123" s="1456"/>
      <c r="AB123" s="1456"/>
      <c r="AC123" s="1456"/>
      <c r="AD123" s="1456"/>
      <c r="AE123" s="1456"/>
      <c r="AF123" s="1456"/>
      <c r="AG123" s="1456"/>
      <c r="AH123" s="1456"/>
      <c r="AI123" s="1456"/>
      <c r="AJ123" s="1456"/>
      <c r="AK123" s="1456"/>
      <c r="AL123" s="1456"/>
      <c r="AM123" s="1456"/>
      <c r="AN123" s="1456"/>
      <c r="AO123" s="1456"/>
      <c r="AP123" s="1456"/>
      <c r="AQ123" s="1456"/>
      <c r="AR123" s="1456"/>
      <c r="AS123" s="1456"/>
      <c r="AT123" s="1456"/>
      <c r="AU123" s="1456"/>
    </row>
    <row r="124" spans="1:63" s="1041" customFormat="1" ht="31.5">
      <c r="A124" s="1017" t="s">
        <v>523</v>
      </c>
      <c r="B124" s="1017" t="s">
        <v>373</v>
      </c>
      <c r="C124" s="1017" t="s">
        <v>521</v>
      </c>
      <c r="D124" s="1018" t="s">
        <v>524</v>
      </c>
      <c r="E124" s="1020">
        <f t="shared" si="44"/>
        <v>180000</v>
      </c>
      <c r="F124" s="1020">
        <v>180000</v>
      </c>
      <c r="G124" s="1020"/>
      <c r="H124" s="1020"/>
      <c r="I124" s="1020"/>
      <c r="J124" s="1020">
        <f t="shared" si="45"/>
        <v>0</v>
      </c>
      <c r="K124" s="1040"/>
      <c r="L124" s="1040"/>
      <c r="M124" s="1040"/>
      <c r="N124" s="1020"/>
      <c r="O124" s="1040"/>
      <c r="P124" s="1040"/>
      <c r="Q124" s="1020">
        <f t="shared" si="46"/>
        <v>180000</v>
      </c>
      <c r="R124" s="1482">
        <f t="shared" si="33"/>
        <v>180000</v>
      </c>
      <c r="S124" s="1466">
        <f>R124-Q124</f>
        <v>0</v>
      </c>
      <c r="T124" s="1450">
        <f t="shared" si="32"/>
        <v>0</v>
      </c>
      <c r="U124" s="1450"/>
      <c r="V124" s="1450">
        <f t="shared" si="25"/>
        <v>0</v>
      </c>
      <c r="W124" s="1456"/>
      <c r="X124" s="1456"/>
      <c r="Y124" s="1456"/>
      <c r="Z124" s="1456"/>
      <c r="AA124" s="1456"/>
      <c r="AB124" s="1456"/>
      <c r="AC124" s="1456"/>
      <c r="AD124" s="1456"/>
      <c r="AE124" s="1456"/>
      <c r="AF124" s="1456"/>
      <c r="AG124" s="1456"/>
      <c r="AH124" s="1456"/>
      <c r="AI124" s="1456"/>
      <c r="AJ124" s="1456"/>
      <c r="AK124" s="1456"/>
      <c r="AL124" s="1456"/>
      <c r="AM124" s="1456"/>
      <c r="AN124" s="1456"/>
      <c r="AO124" s="1456"/>
      <c r="AP124" s="1456"/>
      <c r="AQ124" s="1456"/>
      <c r="AR124" s="1456"/>
      <c r="AS124" s="1456"/>
      <c r="AT124" s="1456"/>
      <c r="AU124" s="1456"/>
    </row>
    <row r="125" spans="1:63" s="1041" customFormat="1" ht="40.9" customHeight="1">
      <c r="A125" s="1017" t="s">
        <v>738</v>
      </c>
      <c r="B125" s="1017" t="s">
        <v>739</v>
      </c>
      <c r="C125" s="1017" t="s">
        <v>741</v>
      </c>
      <c r="D125" s="1018" t="s">
        <v>740</v>
      </c>
      <c r="E125" s="1020">
        <f t="shared" si="44"/>
        <v>125000</v>
      </c>
      <c r="F125" s="1020">
        <v>125000</v>
      </c>
      <c r="G125" s="1020"/>
      <c r="H125" s="1020"/>
      <c r="I125" s="1020"/>
      <c r="J125" s="1020">
        <f t="shared" si="45"/>
        <v>0</v>
      </c>
      <c r="K125" s="1040"/>
      <c r="L125" s="1040"/>
      <c r="M125" s="1040"/>
      <c r="N125" s="1020"/>
      <c r="O125" s="1040"/>
      <c r="P125" s="1040"/>
      <c r="Q125" s="1020">
        <f t="shared" si="46"/>
        <v>125000</v>
      </c>
      <c r="R125" s="1482">
        <f t="shared" si="33"/>
        <v>125000</v>
      </c>
      <c r="S125" s="1455">
        <f t="shared" si="28"/>
        <v>0</v>
      </c>
      <c r="T125" s="1450">
        <f t="shared" si="32"/>
        <v>0</v>
      </c>
      <c r="U125" s="1450"/>
      <c r="V125" s="1450">
        <f t="shared" si="25"/>
        <v>0</v>
      </c>
      <c r="W125" s="1456"/>
      <c r="X125" s="1456"/>
      <c r="Y125" s="1456"/>
      <c r="Z125" s="1456"/>
      <c r="AA125" s="1456"/>
      <c r="AB125" s="1456"/>
      <c r="AC125" s="1456"/>
      <c r="AD125" s="1456"/>
      <c r="AE125" s="1456"/>
      <c r="AF125" s="1456"/>
      <c r="AG125" s="1456"/>
      <c r="AH125" s="1456"/>
      <c r="AI125" s="1456"/>
      <c r="AJ125" s="1456"/>
      <c r="AK125" s="1456"/>
      <c r="AL125" s="1456"/>
      <c r="AM125" s="1456"/>
      <c r="AN125" s="1456"/>
      <c r="AO125" s="1456"/>
      <c r="AP125" s="1456"/>
      <c r="AQ125" s="1456"/>
      <c r="AR125" s="1456"/>
      <c r="AS125" s="1456"/>
      <c r="AT125" s="1456"/>
      <c r="AU125" s="1456"/>
    </row>
    <row r="126" spans="1:63" s="294" customFormat="1" ht="31.15" hidden="1" customHeight="1">
      <c r="A126" s="42" t="s">
        <v>525</v>
      </c>
      <c r="B126" s="42" t="s">
        <v>526</v>
      </c>
      <c r="C126" s="42" t="s">
        <v>277</v>
      </c>
      <c r="D126" s="41" t="s">
        <v>527</v>
      </c>
      <c r="E126" s="316">
        <f t="shared" si="44"/>
        <v>0</v>
      </c>
      <c r="F126" s="319"/>
      <c r="G126" s="319"/>
      <c r="H126" s="319"/>
      <c r="I126" s="319"/>
      <c r="J126" s="316">
        <f t="shared" si="45"/>
        <v>0</v>
      </c>
      <c r="K126" s="322"/>
      <c r="L126" s="322"/>
      <c r="M126" s="322"/>
      <c r="N126" s="319"/>
      <c r="O126" s="322"/>
      <c r="P126" s="322"/>
      <c r="Q126" s="316">
        <f t="shared" si="46"/>
        <v>0</v>
      </c>
      <c r="R126" s="1005">
        <f t="shared" si="33"/>
        <v>0</v>
      </c>
      <c r="S126" s="284">
        <f t="shared" si="28"/>
        <v>0</v>
      </c>
      <c r="T126" s="1006">
        <f t="shared" si="32"/>
        <v>0</v>
      </c>
      <c r="U126" s="536"/>
      <c r="V126" s="536">
        <f t="shared" si="25"/>
        <v>0</v>
      </c>
    </row>
    <row r="127" spans="1:63" s="294" customFormat="1" ht="31.15" hidden="1" customHeight="1">
      <c r="A127" s="42" t="s">
        <v>735</v>
      </c>
      <c r="B127" s="42" t="s">
        <v>736</v>
      </c>
      <c r="C127" s="42" t="s">
        <v>277</v>
      </c>
      <c r="D127" s="41" t="s">
        <v>737</v>
      </c>
      <c r="E127" s="316">
        <f t="shared" si="44"/>
        <v>0</v>
      </c>
      <c r="F127" s="319"/>
      <c r="G127" s="319"/>
      <c r="H127" s="319"/>
      <c r="I127" s="319"/>
      <c r="J127" s="316">
        <f t="shared" si="45"/>
        <v>0</v>
      </c>
      <c r="K127" s="322"/>
      <c r="L127" s="322"/>
      <c r="M127" s="322"/>
      <c r="N127" s="319"/>
      <c r="O127" s="322"/>
      <c r="P127" s="322"/>
      <c r="Q127" s="316">
        <f t="shared" si="46"/>
        <v>0</v>
      </c>
      <c r="R127" s="1481">
        <f t="shared" si="33"/>
        <v>0</v>
      </c>
      <c r="S127" s="284">
        <f t="shared" si="28"/>
        <v>0</v>
      </c>
      <c r="T127" s="1006">
        <f t="shared" si="32"/>
        <v>0</v>
      </c>
      <c r="U127" s="536"/>
      <c r="V127" s="536">
        <f t="shared" ref="V127:V180" si="47">O127-N127</f>
        <v>0</v>
      </c>
    </row>
    <row r="128" spans="1:63" s="1047" customFormat="1" ht="70.900000000000006" customHeight="1">
      <c r="A128" s="1033" t="s">
        <v>329</v>
      </c>
      <c r="B128" s="1033"/>
      <c r="C128" s="1033"/>
      <c r="D128" s="1024" t="s">
        <v>924</v>
      </c>
      <c r="E128" s="908">
        <f t="shared" ref="E128:J128" si="48">E131+E132+E133+E134+E135+E137+E138+E139+E140+E141+E142+E143+E144+E145+E146+E147+E148+E149+E150+E151+E152+E136+E155+E154+E153</f>
        <v>80072900</v>
      </c>
      <c r="F128" s="908">
        <f t="shared" si="48"/>
        <v>80072900</v>
      </c>
      <c r="G128" s="908">
        <f t="shared" si="48"/>
        <v>26615500</v>
      </c>
      <c r="H128" s="908">
        <f t="shared" si="48"/>
        <v>4699100</v>
      </c>
      <c r="I128" s="908">
        <f t="shared" si="48"/>
        <v>0</v>
      </c>
      <c r="J128" s="1210">
        <f t="shared" si="48"/>
        <v>14319735.9</v>
      </c>
      <c r="K128" s="1210">
        <f t="shared" ref="K128:Q128" si="49">K131+K132+K133+K134+K135+K137+K138+K139+K140+K141+K142+K143+K144+K145+K146+K147+K148+K149+K150+K151+K152+K136+K155+K154+K153</f>
        <v>2502335.9</v>
      </c>
      <c r="L128" s="1210">
        <f t="shared" si="49"/>
        <v>1058700</v>
      </c>
      <c r="M128" s="1210">
        <f t="shared" si="49"/>
        <v>80900</v>
      </c>
      <c r="N128" s="1210">
        <f t="shared" si="49"/>
        <v>11817400</v>
      </c>
      <c r="O128" s="1210">
        <f t="shared" si="49"/>
        <v>11792400</v>
      </c>
      <c r="P128" s="1210">
        <f t="shared" si="49"/>
        <v>11792400</v>
      </c>
      <c r="Q128" s="1210">
        <f t="shared" si="49"/>
        <v>94392635.900000006</v>
      </c>
      <c r="R128" s="1482">
        <f t="shared" si="33"/>
        <v>94392635.900000006</v>
      </c>
      <c r="S128" s="1455">
        <f t="shared" si="28"/>
        <v>0</v>
      </c>
      <c r="T128" s="1450">
        <f t="shared" si="32"/>
        <v>0</v>
      </c>
      <c r="U128" s="1450"/>
      <c r="V128" s="1450">
        <f>O128-N128</f>
        <v>-25000</v>
      </c>
      <c r="W128" s="1467"/>
      <c r="X128" s="1467"/>
      <c r="Y128" s="1467"/>
      <c r="Z128" s="1467"/>
      <c r="AA128" s="1467"/>
      <c r="AB128" s="1467"/>
      <c r="AC128" s="1467"/>
      <c r="AD128" s="1467"/>
      <c r="AE128" s="1467"/>
      <c r="AF128" s="1467"/>
      <c r="AG128" s="1467"/>
      <c r="AH128" s="1467"/>
      <c r="AI128" s="1467"/>
      <c r="AJ128" s="1467"/>
      <c r="AK128" s="1467"/>
      <c r="AL128" s="1467"/>
      <c r="AM128" s="1467"/>
      <c r="AN128" s="1467"/>
      <c r="AO128" s="1467"/>
      <c r="AP128" s="1467"/>
      <c r="AQ128" s="1467"/>
      <c r="AR128" s="1467"/>
      <c r="AS128" s="1467"/>
      <c r="AT128" s="1467"/>
      <c r="AU128" s="1467"/>
    </row>
    <row r="129" spans="1:47" s="1047" customFormat="1" ht="82.9" customHeight="1">
      <c r="A129" s="1033" t="s">
        <v>330</v>
      </c>
      <c r="B129" s="1033"/>
      <c r="C129" s="1033"/>
      <c r="D129" s="1024" t="s">
        <v>924</v>
      </c>
      <c r="E129" s="908">
        <f>SUM(E131:E155)</f>
        <v>80072900</v>
      </c>
      <c r="F129" s="908">
        <f t="shared" ref="F129:P129" si="50">SUM(F131:F155)</f>
        <v>80072900</v>
      </c>
      <c r="G129" s="908">
        <f t="shared" si="50"/>
        <v>26615500</v>
      </c>
      <c r="H129" s="908">
        <f t="shared" si="50"/>
        <v>4699100</v>
      </c>
      <c r="I129" s="908">
        <f t="shared" si="50"/>
        <v>0</v>
      </c>
      <c r="J129" s="1210">
        <f t="shared" si="50"/>
        <v>14319735.9</v>
      </c>
      <c r="K129" s="1210">
        <f t="shared" si="50"/>
        <v>2502335.9</v>
      </c>
      <c r="L129" s="1210">
        <f t="shared" si="50"/>
        <v>1058700</v>
      </c>
      <c r="M129" s="1210">
        <f t="shared" si="50"/>
        <v>80900</v>
      </c>
      <c r="N129" s="1210">
        <f t="shared" si="50"/>
        <v>11817400</v>
      </c>
      <c r="O129" s="1210">
        <f t="shared" si="50"/>
        <v>11792400</v>
      </c>
      <c r="P129" s="1210">
        <f t="shared" si="50"/>
        <v>11792400</v>
      </c>
      <c r="Q129" s="1210">
        <f>SUM(Q131:Q155)</f>
        <v>94392635.900000006</v>
      </c>
      <c r="R129" s="1482">
        <f t="shared" si="33"/>
        <v>94392635.900000006</v>
      </c>
      <c r="S129" s="1455">
        <f t="shared" si="28"/>
        <v>0</v>
      </c>
      <c r="T129" s="1450">
        <f t="shared" si="32"/>
        <v>0</v>
      </c>
      <c r="U129" s="1450"/>
      <c r="V129" s="1450">
        <f t="shared" si="47"/>
        <v>-25000</v>
      </c>
      <c r="W129" s="1467"/>
      <c r="X129" s="1467"/>
      <c r="Y129" s="1467"/>
      <c r="Z129" s="1467"/>
      <c r="AA129" s="1467"/>
      <c r="AB129" s="1467"/>
      <c r="AC129" s="1467"/>
      <c r="AD129" s="1467"/>
      <c r="AE129" s="1467"/>
      <c r="AF129" s="1467"/>
      <c r="AG129" s="1467"/>
      <c r="AH129" s="1467"/>
      <c r="AI129" s="1467"/>
      <c r="AJ129" s="1467"/>
      <c r="AK129" s="1467"/>
      <c r="AL129" s="1467"/>
      <c r="AM129" s="1467"/>
      <c r="AN129" s="1467"/>
      <c r="AO129" s="1467"/>
      <c r="AP129" s="1467"/>
      <c r="AQ129" s="1467"/>
      <c r="AR129" s="1467"/>
      <c r="AS129" s="1467"/>
      <c r="AT129" s="1467"/>
      <c r="AU129" s="1467"/>
    </row>
    <row r="130" spans="1:47" s="1047" customFormat="1" ht="15.75" hidden="1">
      <c r="A130" s="1033"/>
      <c r="B130" s="1033"/>
      <c r="C130" s="1033"/>
      <c r="D130" s="1024"/>
      <c r="E130" s="908">
        <f>E129-E152</f>
        <v>80025800</v>
      </c>
      <c r="F130" s="908">
        <f t="shared" ref="F130:Q130" si="51">F129-F152</f>
        <v>80025800</v>
      </c>
      <c r="G130" s="908">
        <f t="shared" si="51"/>
        <v>26615500</v>
      </c>
      <c r="H130" s="908">
        <f t="shared" si="51"/>
        <v>4699100</v>
      </c>
      <c r="I130" s="908">
        <f t="shared" si="51"/>
        <v>0</v>
      </c>
      <c r="J130" s="1210">
        <f t="shared" si="51"/>
        <v>14303435.9</v>
      </c>
      <c r="K130" s="1210">
        <f t="shared" si="51"/>
        <v>2486035.9</v>
      </c>
      <c r="L130" s="1210">
        <f t="shared" si="51"/>
        <v>1058700</v>
      </c>
      <c r="M130" s="1210">
        <f t="shared" si="51"/>
        <v>80900</v>
      </c>
      <c r="N130" s="1210">
        <f t="shared" si="51"/>
        <v>11817400</v>
      </c>
      <c r="O130" s="1210">
        <f t="shared" si="51"/>
        <v>11792400</v>
      </c>
      <c r="P130" s="1210">
        <f t="shared" si="51"/>
        <v>11792400</v>
      </c>
      <c r="Q130" s="1210">
        <f t="shared" si="51"/>
        <v>94329235.900000006</v>
      </c>
      <c r="R130" s="1005">
        <f t="shared" si="33"/>
        <v>94329235.900000006</v>
      </c>
      <c r="S130" s="1035"/>
      <c r="T130" s="1006">
        <f t="shared" si="32"/>
        <v>0</v>
      </c>
      <c r="U130" s="1006"/>
      <c r="V130" s="1006">
        <f t="shared" si="47"/>
        <v>-25000</v>
      </c>
    </row>
    <row r="131" spans="1:47" s="294" customFormat="1" ht="62.45" hidden="1" customHeight="1">
      <c r="A131" s="293" t="s">
        <v>294</v>
      </c>
      <c r="B131" s="293" t="s">
        <v>334</v>
      </c>
      <c r="C131" s="296" t="s">
        <v>11</v>
      </c>
      <c r="D131" s="297" t="s">
        <v>77</v>
      </c>
      <c r="E131" s="321">
        <f t="shared" ref="E131:E137" si="52">F131+I131</f>
        <v>0</v>
      </c>
      <c r="F131" s="319"/>
      <c r="G131" s="319"/>
      <c r="H131" s="319"/>
      <c r="I131" s="319"/>
      <c r="J131" s="319">
        <f>+K131+N131</f>
        <v>0</v>
      </c>
      <c r="K131" s="319"/>
      <c r="L131" s="319"/>
      <c r="M131" s="319"/>
      <c r="N131" s="319"/>
      <c r="O131" s="319"/>
      <c r="P131" s="319"/>
      <c r="Q131" s="319">
        <f t="shared" ref="Q131:Q155" si="53">+J131+E131</f>
        <v>0</v>
      </c>
      <c r="R131" s="1005">
        <f t="shared" si="33"/>
        <v>0</v>
      </c>
      <c r="S131" s="284">
        <f t="shared" si="28"/>
        <v>0</v>
      </c>
      <c r="T131" s="1006">
        <f t="shared" si="32"/>
        <v>0</v>
      </c>
      <c r="U131" s="536"/>
      <c r="V131" s="536">
        <f t="shared" si="47"/>
        <v>0</v>
      </c>
    </row>
    <row r="132" spans="1:47" s="294" customFormat="1" ht="46.9" hidden="1" customHeight="1">
      <c r="A132" s="293" t="s">
        <v>528</v>
      </c>
      <c r="B132" s="293" t="s">
        <v>529</v>
      </c>
      <c r="C132" s="293" t="s">
        <v>11</v>
      </c>
      <c r="D132" s="45" t="s">
        <v>530</v>
      </c>
      <c r="E132" s="319">
        <f t="shared" si="52"/>
        <v>0</v>
      </c>
      <c r="F132" s="319"/>
      <c r="G132" s="319"/>
      <c r="H132" s="319"/>
      <c r="I132" s="319"/>
      <c r="J132" s="319">
        <f t="shared" ref="J132:J139" si="54">+K132+N132</f>
        <v>0</v>
      </c>
      <c r="K132" s="322"/>
      <c r="L132" s="322"/>
      <c r="M132" s="322"/>
      <c r="N132" s="319"/>
      <c r="O132" s="322"/>
      <c r="P132" s="322"/>
      <c r="Q132" s="319">
        <f t="shared" si="53"/>
        <v>0</v>
      </c>
      <c r="R132" s="1005">
        <f t="shared" si="33"/>
        <v>0</v>
      </c>
      <c r="S132" s="284">
        <f t="shared" si="28"/>
        <v>0</v>
      </c>
      <c r="T132" s="1006">
        <f t="shared" si="32"/>
        <v>0</v>
      </c>
      <c r="U132" s="536"/>
      <c r="V132" s="536">
        <f t="shared" si="47"/>
        <v>0</v>
      </c>
    </row>
    <row r="133" spans="1:47" s="294" customFormat="1" ht="46.9" hidden="1" customHeight="1">
      <c r="A133" s="293" t="s">
        <v>531</v>
      </c>
      <c r="B133" s="293" t="s">
        <v>532</v>
      </c>
      <c r="C133" s="293" t="s">
        <v>11</v>
      </c>
      <c r="D133" s="295" t="s">
        <v>297</v>
      </c>
      <c r="E133" s="319">
        <f t="shared" si="52"/>
        <v>0</v>
      </c>
      <c r="F133" s="319"/>
      <c r="G133" s="319"/>
      <c r="H133" s="319"/>
      <c r="I133" s="319"/>
      <c r="J133" s="319">
        <f t="shared" si="54"/>
        <v>0</v>
      </c>
      <c r="K133" s="322"/>
      <c r="L133" s="322"/>
      <c r="M133" s="322"/>
      <c r="N133" s="319"/>
      <c r="O133" s="322"/>
      <c r="P133" s="322"/>
      <c r="Q133" s="319">
        <f t="shared" si="53"/>
        <v>0</v>
      </c>
      <c r="R133" s="1005">
        <f t="shared" si="33"/>
        <v>0</v>
      </c>
      <c r="S133" s="284">
        <f t="shared" si="28"/>
        <v>0</v>
      </c>
      <c r="T133" s="1006">
        <f t="shared" si="32"/>
        <v>0</v>
      </c>
      <c r="U133" s="536"/>
      <c r="V133" s="536">
        <f t="shared" si="47"/>
        <v>0</v>
      </c>
    </row>
    <row r="134" spans="1:47" s="294" customFormat="1" ht="31.15" hidden="1" customHeight="1">
      <c r="A134" s="293" t="s">
        <v>533</v>
      </c>
      <c r="B134" s="293" t="s">
        <v>534</v>
      </c>
      <c r="C134" s="293" t="s">
        <v>11</v>
      </c>
      <c r="D134" s="45" t="s">
        <v>175</v>
      </c>
      <c r="E134" s="319">
        <f t="shared" si="52"/>
        <v>0</v>
      </c>
      <c r="F134" s="319"/>
      <c r="G134" s="319"/>
      <c r="H134" s="319"/>
      <c r="I134" s="319"/>
      <c r="J134" s="319">
        <f t="shared" si="54"/>
        <v>0</v>
      </c>
      <c r="K134" s="322"/>
      <c r="L134" s="322"/>
      <c r="M134" s="322"/>
      <c r="N134" s="319"/>
      <c r="O134" s="322"/>
      <c r="P134" s="322"/>
      <c r="Q134" s="319">
        <f t="shared" si="53"/>
        <v>0</v>
      </c>
      <c r="R134" s="1481">
        <f t="shared" si="33"/>
        <v>0</v>
      </c>
      <c r="S134" s="284">
        <f t="shared" si="28"/>
        <v>0</v>
      </c>
      <c r="T134" s="1006">
        <f t="shared" si="32"/>
        <v>0</v>
      </c>
      <c r="U134" s="536"/>
      <c r="V134" s="536">
        <f t="shared" si="47"/>
        <v>0</v>
      </c>
    </row>
    <row r="135" spans="1:47" s="1041" customFormat="1" ht="47.25">
      <c r="A135" s="1017" t="s">
        <v>336</v>
      </c>
      <c r="B135" s="1017" t="s">
        <v>337</v>
      </c>
      <c r="C135" s="1017" t="s">
        <v>11</v>
      </c>
      <c r="D135" s="1018" t="s">
        <v>203</v>
      </c>
      <c r="E135" s="1020">
        <f t="shared" si="52"/>
        <v>1450000</v>
      </c>
      <c r="F135" s="1020">
        <v>1450000</v>
      </c>
      <c r="G135" s="1020"/>
      <c r="H135" s="1020"/>
      <c r="I135" s="1020"/>
      <c r="J135" s="1020">
        <f t="shared" si="54"/>
        <v>0</v>
      </c>
      <c r="K135" s="1040"/>
      <c r="L135" s="1040"/>
      <c r="M135" s="1040"/>
      <c r="N135" s="1020"/>
      <c r="O135" s="1040"/>
      <c r="P135" s="1040"/>
      <c r="Q135" s="1020">
        <f t="shared" si="53"/>
        <v>1450000</v>
      </c>
      <c r="R135" s="1482">
        <f t="shared" si="33"/>
        <v>1450000</v>
      </c>
      <c r="S135" s="1455">
        <f t="shared" si="28"/>
        <v>0</v>
      </c>
      <c r="T135" s="1450">
        <f t="shared" si="32"/>
        <v>0</v>
      </c>
      <c r="U135" s="1450"/>
      <c r="V135" s="1450">
        <f t="shared" si="47"/>
        <v>0</v>
      </c>
      <c r="W135" s="1456"/>
      <c r="X135" s="1456"/>
      <c r="Y135" s="1456"/>
      <c r="Z135" s="1456"/>
      <c r="AA135" s="1456"/>
      <c r="AB135" s="1456"/>
      <c r="AC135" s="1456"/>
      <c r="AD135" s="1456"/>
      <c r="AE135" s="1456"/>
      <c r="AF135" s="1456"/>
      <c r="AG135" s="1456"/>
      <c r="AH135" s="1456"/>
      <c r="AI135" s="1456"/>
      <c r="AJ135" s="1456"/>
      <c r="AK135" s="1456"/>
      <c r="AL135" s="1456"/>
      <c r="AM135" s="1456"/>
      <c r="AN135" s="1456"/>
      <c r="AO135" s="1456"/>
      <c r="AP135" s="1456"/>
      <c r="AQ135" s="1456"/>
      <c r="AR135" s="1456"/>
      <c r="AS135" s="1456"/>
      <c r="AT135" s="1456"/>
      <c r="AU135" s="1456"/>
    </row>
    <row r="136" spans="1:47" s="1041" customFormat="1" ht="31.5">
      <c r="A136" s="1017" t="s">
        <v>338</v>
      </c>
      <c r="B136" s="1017" t="s">
        <v>339</v>
      </c>
      <c r="C136" s="1017" t="s">
        <v>11</v>
      </c>
      <c r="D136" s="1018" t="s">
        <v>742</v>
      </c>
      <c r="E136" s="1020">
        <f t="shared" si="52"/>
        <v>200000</v>
      </c>
      <c r="F136" s="1020">
        <v>200000</v>
      </c>
      <c r="G136" s="1020"/>
      <c r="H136" s="1020"/>
      <c r="I136" s="1020"/>
      <c r="J136" s="1020">
        <f>+K136+N136</f>
        <v>0</v>
      </c>
      <c r="K136" s="1040"/>
      <c r="L136" s="1040"/>
      <c r="M136" s="1040"/>
      <c r="N136" s="1020"/>
      <c r="O136" s="1040"/>
      <c r="P136" s="1040"/>
      <c r="Q136" s="1020">
        <f t="shared" si="53"/>
        <v>200000</v>
      </c>
      <c r="R136" s="1482">
        <f t="shared" si="33"/>
        <v>200000</v>
      </c>
      <c r="S136" s="1455">
        <f t="shared" si="28"/>
        <v>0</v>
      </c>
      <c r="T136" s="1450">
        <f t="shared" si="32"/>
        <v>0</v>
      </c>
      <c r="U136" s="1450"/>
      <c r="V136" s="1450">
        <f t="shared" si="47"/>
        <v>0</v>
      </c>
      <c r="W136" s="1456"/>
      <c r="X136" s="1456"/>
      <c r="Y136" s="1456"/>
      <c r="Z136" s="1456"/>
      <c r="AA136" s="1456"/>
      <c r="AB136" s="1456"/>
      <c r="AC136" s="1456"/>
      <c r="AD136" s="1456"/>
      <c r="AE136" s="1456"/>
      <c r="AF136" s="1456"/>
      <c r="AG136" s="1456"/>
      <c r="AH136" s="1456"/>
      <c r="AI136" s="1456"/>
      <c r="AJ136" s="1456"/>
      <c r="AK136" s="1456"/>
      <c r="AL136" s="1456"/>
      <c r="AM136" s="1456"/>
      <c r="AN136" s="1456"/>
      <c r="AO136" s="1456"/>
      <c r="AP136" s="1456"/>
      <c r="AQ136" s="1456"/>
      <c r="AR136" s="1456"/>
      <c r="AS136" s="1456"/>
      <c r="AT136" s="1456"/>
      <c r="AU136" s="1456"/>
    </row>
    <row r="137" spans="1:47" s="455" customFormat="1" ht="109.15" hidden="1" customHeight="1">
      <c r="A137" s="42" t="s">
        <v>340</v>
      </c>
      <c r="B137" s="42" t="s">
        <v>341</v>
      </c>
      <c r="C137" s="42" t="s">
        <v>11</v>
      </c>
      <c r="D137" s="41" t="s">
        <v>147</v>
      </c>
      <c r="E137" s="316">
        <f t="shared" si="52"/>
        <v>0</v>
      </c>
      <c r="F137" s="316"/>
      <c r="G137" s="316"/>
      <c r="H137" s="316"/>
      <c r="I137" s="316"/>
      <c r="J137" s="316">
        <f t="shared" si="54"/>
        <v>0</v>
      </c>
      <c r="K137" s="323"/>
      <c r="L137" s="323"/>
      <c r="M137" s="323"/>
      <c r="N137" s="316"/>
      <c r="O137" s="323"/>
      <c r="P137" s="323"/>
      <c r="Q137" s="316">
        <f t="shared" si="53"/>
        <v>0</v>
      </c>
      <c r="R137" s="1005">
        <f t="shared" si="33"/>
        <v>0</v>
      </c>
      <c r="S137" s="284">
        <f t="shared" si="28"/>
        <v>0</v>
      </c>
      <c r="T137" s="1006">
        <f t="shared" si="32"/>
        <v>0</v>
      </c>
      <c r="U137" s="536"/>
      <c r="V137" s="536">
        <f t="shared" si="47"/>
        <v>0</v>
      </c>
    </row>
    <row r="138" spans="1:47" s="455" customFormat="1" ht="62.45" hidden="1" customHeight="1">
      <c r="A138" s="42" t="s">
        <v>535</v>
      </c>
      <c r="B138" s="293" t="s">
        <v>497</v>
      </c>
      <c r="C138" s="293">
        <v>1090</v>
      </c>
      <c r="D138" s="45" t="s">
        <v>498</v>
      </c>
      <c r="E138" s="316">
        <f>+F138+I138</f>
        <v>0</v>
      </c>
      <c r="F138" s="316"/>
      <c r="G138" s="316"/>
      <c r="H138" s="316"/>
      <c r="I138" s="316"/>
      <c r="J138" s="316">
        <f t="shared" si="54"/>
        <v>0</v>
      </c>
      <c r="K138" s="323"/>
      <c r="L138" s="323"/>
      <c r="M138" s="323"/>
      <c r="N138" s="316"/>
      <c r="O138" s="323"/>
      <c r="P138" s="323"/>
      <c r="Q138" s="316">
        <f t="shared" si="53"/>
        <v>0</v>
      </c>
      <c r="R138" s="1005">
        <f t="shared" si="33"/>
        <v>0</v>
      </c>
      <c r="S138" s="284">
        <f t="shared" si="28"/>
        <v>0</v>
      </c>
      <c r="T138" s="1006">
        <f t="shared" si="32"/>
        <v>0</v>
      </c>
      <c r="U138" s="536"/>
      <c r="V138" s="536">
        <f t="shared" si="47"/>
        <v>0</v>
      </c>
    </row>
    <row r="139" spans="1:47" s="87" customFormat="1" ht="46.9" hidden="1" customHeight="1">
      <c r="A139" s="42" t="s">
        <v>536</v>
      </c>
      <c r="B139" s="293">
        <v>3242</v>
      </c>
      <c r="C139" s="293">
        <v>1090</v>
      </c>
      <c r="D139" s="45" t="s">
        <v>387</v>
      </c>
      <c r="E139" s="316">
        <f>+F139+I139</f>
        <v>0</v>
      </c>
      <c r="F139" s="316"/>
      <c r="G139" s="316"/>
      <c r="H139" s="316"/>
      <c r="I139" s="316"/>
      <c r="J139" s="316">
        <f t="shared" si="54"/>
        <v>0</v>
      </c>
      <c r="K139" s="323"/>
      <c r="L139" s="323"/>
      <c r="M139" s="323"/>
      <c r="N139" s="316"/>
      <c r="O139" s="323"/>
      <c r="P139" s="323"/>
      <c r="Q139" s="316">
        <f t="shared" si="53"/>
        <v>0</v>
      </c>
      <c r="R139" s="1481">
        <f t="shared" si="33"/>
        <v>0</v>
      </c>
      <c r="S139" s="284">
        <f t="shared" si="28"/>
        <v>0</v>
      </c>
      <c r="T139" s="1006">
        <f t="shared" si="32"/>
        <v>0</v>
      </c>
      <c r="U139" s="536"/>
      <c r="V139" s="536">
        <f t="shared" si="47"/>
        <v>0</v>
      </c>
    </row>
    <row r="140" spans="1:47" s="1041" customFormat="1" ht="47.25">
      <c r="A140" s="1017" t="s">
        <v>343</v>
      </c>
      <c r="B140" s="1017" t="s">
        <v>344</v>
      </c>
      <c r="C140" s="1017" t="s">
        <v>293</v>
      </c>
      <c r="D140" s="1018" t="s">
        <v>176</v>
      </c>
      <c r="E140" s="1020">
        <f t="shared" ref="E140:E155" si="55">F140+I140</f>
        <v>6715900</v>
      </c>
      <c r="F140" s="1020">
        <v>6715900</v>
      </c>
      <c r="G140" s="1020"/>
      <c r="H140" s="1020"/>
      <c r="I140" s="1020"/>
      <c r="J140" s="1020">
        <f t="shared" ref="J140:J155" si="56">+K140+N140</f>
        <v>0</v>
      </c>
      <c r="K140" s="1040"/>
      <c r="L140" s="1040"/>
      <c r="M140" s="1040"/>
      <c r="N140" s="1020"/>
      <c r="O140" s="1040"/>
      <c r="P140" s="1040"/>
      <c r="Q140" s="1020">
        <f t="shared" si="53"/>
        <v>6715900</v>
      </c>
      <c r="R140" s="1482">
        <f t="shared" si="33"/>
        <v>6715900</v>
      </c>
      <c r="S140" s="1455">
        <f t="shared" si="28"/>
        <v>0</v>
      </c>
      <c r="T140" s="1450">
        <f t="shared" si="32"/>
        <v>0</v>
      </c>
      <c r="U140" s="1450"/>
      <c r="V140" s="1450">
        <f t="shared" si="47"/>
        <v>0</v>
      </c>
      <c r="W140" s="1456"/>
      <c r="X140" s="1456"/>
      <c r="Y140" s="1456"/>
      <c r="Z140" s="1456"/>
      <c r="AA140" s="1456"/>
      <c r="AB140" s="1456"/>
      <c r="AC140" s="1456"/>
      <c r="AD140" s="1456"/>
      <c r="AE140" s="1456"/>
      <c r="AF140" s="1456"/>
      <c r="AG140" s="1456"/>
      <c r="AH140" s="1456"/>
      <c r="AI140" s="1456"/>
      <c r="AJ140" s="1456"/>
      <c r="AK140" s="1456"/>
      <c r="AL140" s="1456"/>
      <c r="AM140" s="1456"/>
      <c r="AN140" s="1456"/>
      <c r="AO140" s="1456"/>
      <c r="AP140" s="1456"/>
      <c r="AQ140" s="1456"/>
      <c r="AR140" s="1456"/>
      <c r="AS140" s="1456"/>
      <c r="AT140" s="1456"/>
      <c r="AU140" s="1456"/>
    </row>
    <row r="141" spans="1:47" s="1041" customFormat="1" ht="47.25">
      <c r="A141" s="1017" t="s">
        <v>345</v>
      </c>
      <c r="B141" s="1017" t="s">
        <v>346</v>
      </c>
      <c r="C141" s="1017" t="s">
        <v>293</v>
      </c>
      <c r="D141" s="1018" t="s">
        <v>366</v>
      </c>
      <c r="E141" s="1020">
        <f t="shared" si="55"/>
        <v>3000000</v>
      </c>
      <c r="F141" s="1020">
        <v>3000000</v>
      </c>
      <c r="G141" s="1020"/>
      <c r="H141" s="1020"/>
      <c r="I141" s="1020"/>
      <c r="J141" s="1020">
        <f t="shared" si="56"/>
        <v>0</v>
      </c>
      <c r="K141" s="1040"/>
      <c r="L141" s="1040"/>
      <c r="M141" s="1040"/>
      <c r="N141" s="1020"/>
      <c r="O141" s="1040"/>
      <c r="P141" s="1040"/>
      <c r="Q141" s="1020">
        <f t="shared" si="53"/>
        <v>3000000</v>
      </c>
      <c r="R141" s="1482">
        <f t="shared" si="33"/>
        <v>3000000</v>
      </c>
      <c r="S141" s="1455">
        <f t="shared" si="28"/>
        <v>0</v>
      </c>
      <c r="T141" s="1450">
        <f t="shared" si="32"/>
        <v>0</v>
      </c>
      <c r="U141" s="1450"/>
      <c r="V141" s="1450">
        <f t="shared" si="47"/>
        <v>0</v>
      </c>
      <c r="W141" s="1456"/>
      <c r="X141" s="1456"/>
      <c r="Y141" s="1456"/>
      <c r="Z141" s="1456"/>
      <c r="AA141" s="1456"/>
      <c r="AB141" s="1456"/>
      <c r="AC141" s="1456"/>
      <c r="AD141" s="1456"/>
      <c r="AE141" s="1456"/>
      <c r="AF141" s="1456"/>
      <c r="AG141" s="1456"/>
      <c r="AH141" s="1456"/>
      <c r="AI141" s="1456"/>
      <c r="AJ141" s="1456"/>
      <c r="AK141" s="1456"/>
      <c r="AL141" s="1456"/>
      <c r="AM141" s="1456"/>
      <c r="AN141" s="1456"/>
      <c r="AO141" s="1456"/>
      <c r="AP141" s="1456"/>
      <c r="AQ141" s="1456"/>
      <c r="AR141" s="1456"/>
      <c r="AS141" s="1456"/>
      <c r="AT141" s="1456"/>
      <c r="AU141" s="1456"/>
    </row>
    <row r="142" spans="1:47" s="1041" customFormat="1" ht="47.25">
      <c r="A142" s="1017" t="s">
        <v>335</v>
      </c>
      <c r="B142" s="1017" t="s">
        <v>347</v>
      </c>
      <c r="C142" s="1017" t="s">
        <v>293</v>
      </c>
      <c r="D142" s="1018" t="s">
        <v>804</v>
      </c>
      <c r="E142" s="1020">
        <f t="shared" si="55"/>
        <v>3761000</v>
      </c>
      <c r="F142" s="1020">
        <v>3761000</v>
      </c>
      <c r="G142" s="1020">
        <v>2437100</v>
      </c>
      <c r="H142" s="1020">
        <v>19700</v>
      </c>
      <c r="I142" s="1020"/>
      <c r="J142" s="1020">
        <f t="shared" si="56"/>
        <v>40000</v>
      </c>
      <c r="K142" s="1040"/>
      <c r="L142" s="1040"/>
      <c r="M142" s="1040"/>
      <c r="N142" s="1020">
        <v>40000</v>
      </c>
      <c r="O142" s="1040">
        <v>40000</v>
      </c>
      <c r="P142" s="1040">
        <v>40000</v>
      </c>
      <c r="Q142" s="1020">
        <f t="shared" si="53"/>
        <v>3801000</v>
      </c>
      <c r="R142" s="1482">
        <f t="shared" si="33"/>
        <v>3801000</v>
      </c>
      <c r="S142" s="1455">
        <f t="shared" ref="S142:S215" si="57">R142-Q142</f>
        <v>0</v>
      </c>
      <c r="T142" s="1450">
        <f t="shared" si="32"/>
        <v>0</v>
      </c>
      <c r="U142" s="1450"/>
      <c r="V142" s="1450">
        <f t="shared" si="47"/>
        <v>0</v>
      </c>
      <c r="W142" s="1456"/>
      <c r="X142" s="1456"/>
      <c r="Y142" s="1456"/>
      <c r="Z142" s="1456"/>
      <c r="AA142" s="1456"/>
      <c r="AB142" s="1456"/>
      <c r="AC142" s="1456"/>
      <c r="AD142" s="1456"/>
      <c r="AE142" s="1456"/>
      <c r="AF142" s="1456"/>
      <c r="AG142" s="1456"/>
      <c r="AH142" s="1456"/>
      <c r="AI142" s="1456"/>
      <c r="AJ142" s="1456"/>
      <c r="AK142" s="1456"/>
      <c r="AL142" s="1456"/>
      <c r="AM142" s="1456"/>
      <c r="AN142" s="1456"/>
      <c r="AO142" s="1456"/>
      <c r="AP142" s="1456"/>
      <c r="AQ142" s="1456"/>
      <c r="AR142" s="1456"/>
      <c r="AS142" s="1456"/>
      <c r="AT142" s="1456"/>
      <c r="AU142" s="1456"/>
    </row>
    <row r="143" spans="1:47" s="1041" customFormat="1" ht="47.25">
      <c r="A143" s="1017" t="s">
        <v>348</v>
      </c>
      <c r="B143" s="1017" t="s">
        <v>292</v>
      </c>
      <c r="C143" s="1017" t="s">
        <v>293</v>
      </c>
      <c r="D143" s="1018" t="s">
        <v>805</v>
      </c>
      <c r="E143" s="1020">
        <f t="shared" si="55"/>
        <v>311100</v>
      </c>
      <c r="F143" s="1020">
        <v>311100</v>
      </c>
      <c r="G143" s="1020"/>
      <c r="H143" s="1020"/>
      <c r="I143" s="1020"/>
      <c r="J143" s="1020">
        <f t="shared" si="56"/>
        <v>0</v>
      </c>
      <c r="K143" s="1040"/>
      <c r="L143" s="1040"/>
      <c r="M143" s="1040"/>
      <c r="N143" s="1020"/>
      <c r="O143" s="1040"/>
      <c r="P143" s="1040"/>
      <c r="Q143" s="1020">
        <f t="shared" si="53"/>
        <v>311100</v>
      </c>
      <c r="R143" s="1482">
        <f t="shared" si="33"/>
        <v>311100</v>
      </c>
      <c r="S143" s="1455">
        <f t="shared" si="57"/>
        <v>0</v>
      </c>
      <c r="T143" s="1450">
        <f t="shared" si="32"/>
        <v>0</v>
      </c>
      <c r="U143" s="1450"/>
      <c r="V143" s="1450">
        <f t="shared" si="47"/>
        <v>0</v>
      </c>
      <c r="W143" s="1456"/>
      <c r="X143" s="1456"/>
      <c r="Y143" s="1456"/>
      <c r="Z143" s="1456"/>
      <c r="AA143" s="1456"/>
      <c r="AB143" s="1456"/>
      <c r="AC143" s="1456"/>
      <c r="AD143" s="1456"/>
      <c r="AE143" s="1456"/>
      <c r="AF143" s="1456"/>
      <c r="AG143" s="1456"/>
      <c r="AH143" s="1456"/>
      <c r="AI143" s="1456"/>
      <c r="AJ143" s="1456"/>
      <c r="AK143" s="1456"/>
      <c r="AL143" s="1456"/>
      <c r="AM143" s="1456"/>
      <c r="AN143" s="1456"/>
      <c r="AO143" s="1456"/>
      <c r="AP143" s="1456"/>
      <c r="AQ143" s="1456"/>
      <c r="AR143" s="1456"/>
      <c r="AS143" s="1456"/>
      <c r="AT143" s="1456"/>
      <c r="AU143" s="1456"/>
    </row>
    <row r="144" spans="1:47" s="1041" customFormat="1" ht="47.25">
      <c r="A144" s="1017" t="s">
        <v>349</v>
      </c>
      <c r="B144" s="1017" t="s">
        <v>350</v>
      </c>
      <c r="C144" s="1017" t="s">
        <v>293</v>
      </c>
      <c r="D144" s="1018" t="s">
        <v>47</v>
      </c>
      <c r="E144" s="1020">
        <f t="shared" si="55"/>
        <v>30425400</v>
      </c>
      <c r="F144" s="1020">
        <v>30425400</v>
      </c>
      <c r="G144" s="1020">
        <v>15923000</v>
      </c>
      <c r="H144" s="1020">
        <v>4461700</v>
      </c>
      <c r="I144" s="1020"/>
      <c r="J144" s="1020">
        <f t="shared" si="56"/>
        <v>11069430</v>
      </c>
      <c r="K144" s="1040">
        <v>2403300</v>
      </c>
      <c r="L144" s="1040">
        <v>1058700</v>
      </c>
      <c r="M144" s="1040">
        <v>80900</v>
      </c>
      <c r="N144" s="1020">
        <f>25000+8692100-50970</f>
        <v>8666130</v>
      </c>
      <c r="O144" s="1040">
        <f>8692100-50970</f>
        <v>8641130</v>
      </c>
      <c r="P144" s="1040">
        <f>8692100-50970</f>
        <v>8641130</v>
      </c>
      <c r="Q144" s="1020">
        <f t="shared" si="53"/>
        <v>41494830</v>
      </c>
      <c r="R144" s="1482">
        <f t="shared" si="33"/>
        <v>41494830</v>
      </c>
      <c r="S144" s="1455">
        <f t="shared" si="57"/>
        <v>0</v>
      </c>
      <c r="T144" s="1450">
        <f t="shared" ref="T144:T187" si="58">P144-O144</f>
        <v>0</v>
      </c>
      <c r="U144" s="1450"/>
      <c r="V144" s="1450">
        <f t="shared" si="47"/>
        <v>-25000</v>
      </c>
      <c r="W144" s="1456"/>
      <c r="X144" s="1456"/>
      <c r="Y144" s="1456"/>
      <c r="Z144" s="1456"/>
      <c r="AA144" s="1456"/>
      <c r="AB144" s="1456"/>
      <c r="AC144" s="1456"/>
      <c r="AD144" s="1456"/>
      <c r="AE144" s="1456"/>
      <c r="AF144" s="1456"/>
      <c r="AG144" s="1456"/>
      <c r="AH144" s="1456"/>
      <c r="AI144" s="1456"/>
      <c r="AJ144" s="1456"/>
      <c r="AK144" s="1456"/>
      <c r="AL144" s="1456"/>
      <c r="AM144" s="1456"/>
      <c r="AN144" s="1456"/>
      <c r="AO144" s="1456"/>
      <c r="AP144" s="1456"/>
      <c r="AQ144" s="1456"/>
      <c r="AR144" s="1456"/>
      <c r="AS144" s="1456"/>
      <c r="AT144" s="1456"/>
      <c r="AU144" s="1456"/>
    </row>
    <row r="145" spans="1:47" s="1041" customFormat="1" ht="47.25">
      <c r="A145" s="1017" t="s">
        <v>351</v>
      </c>
      <c r="B145" s="1017" t="s">
        <v>352</v>
      </c>
      <c r="C145" s="1017" t="s">
        <v>293</v>
      </c>
      <c r="D145" s="1018" t="s">
        <v>266</v>
      </c>
      <c r="E145" s="1020">
        <f t="shared" si="55"/>
        <v>4592200</v>
      </c>
      <c r="F145" s="1020">
        <v>4592200</v>
      </c>
      <c r="G145" s="1020"/>
      <c r="H145" s="1020"/>
      <c r="I145" s="1020"/>
      <c r="J145" s="1020">
        <f t="shared" si="56"/>
        <v>406000</v>
      </c>
      <c r="K145" s="1040"/>
      <c r="L145" s="1040"/>
      <c r="M145" s="1040"/>
      <c r="N145" s="1020">
        <v>406000</v>
      </c>
      <c r="O145" s="1040">
        <v>406000</v>
      </c>
      <c r="P145" s="1040">
        <v>406000</v>
      </c>
      <c r="Q145" s="1020">
        <f t="shared" si="53"/>
        <v>4998200</v>
      </c>
      <c r="R145" s="1482">
        <f t="shared" ref="R145:R208" si="59">+E145+J145</f>
        <v>4998200</v>
      </c>
      <c r="S145" s="1455">
        <f t="shared" si="57"/>
        <v>0</v>
      </c>
      <c r="T145" s="1450">
        <f t="shared" si="58"/>
        <v>0</v>
      </c>
      <c r="U145" s="1450"/>
      <c r="V145" s="1450">
        <f t="shared" si="47"/>
        <v>0</v>
      </c>
      <c r="W145" s="1456"/>
      <c r="X145" s="1456"/>
      <c r="Y145" s="1456"/>
      <c r="Z145" s="1456"/>
      <c r="AA145" s="1456"/>
      <c r="AB145" s="1456"/>
      <c r="AC145" s="1456"/>
      <c r="AD145" s="1456"/>
      <c r="AE145" s="1456"/>
      <c r="AF145" s="1456"/>
      <c r="AG145" s="1456"/>
      <c r="AH145" s="1456"/>
      <c r="AI145" s="1456"/>
      <c r="AJ145" s="1456"/>
      <c r="AK145" s="1456"/>
      <c r="AL145" s="1456"/>
      <c r="AM145" s="1456"/>
      <c r="AN145" s="1456"/>
      <c r="AO145" s="1456"/>
      <c r="AP145" s="1456"/>
      <c r="AQ145" s="1456"/>
      <c r="AR145" s="1456"/>
      <c r="AS145" s="1456"/>
      <c r="AT145" s="1456"/>
      <c r="AU145" s="1456"/>
    </row>
    <row r="146" spans="1:47" s="1041" customFormat="1" ht="33.6" customHeight="1">
      <c r="A146" s="1017" t="s">
        <v>234</v>
      </c>
      <c r="B146" s="1017" t="s">
        <v>235</v>
      </c>
      <c r="C146" s="1017" t="s">
        <v>293</v>
      </c>
      <c r="D146" s="1018" t="s">
        <v>537</v>
      </c>
      <c r="E146" s="1020">
        <f t="shared" si="55"/>
        <v>15599300</v>
      </c>
      <c r="F146" s="1020">
        <v>15599300</v>
      </c>
      <c r="G146" s="1020">
        <v>4406900</v>
      </c>
      <c r="H146" s="1020">
        <v>182900</v>
      </c>
      <c r="I146" s="1020"/>
      <c r="J146" s="1020">
        <f t="shared" si="56"/>
        <v>1368470</v>
      </c>
      <c r="K146" s="1040"/>
      <c r="L146" s="1040"/>
      <c r="M146" s="1040"/>
      <c r="N146" s="1020">
        <f>1122000+246470</f>
        <v>1368470</v>
      </c>
      <c r="O146" s="1040">
        <f>1122000+246470</f>
        <v>1368470</v>
      </c>
      <c r="P146" s="1040">
        <v>1368470</v>
      </c>
      <c r="Q146" s="1020">
        <f t="shared" si="53"/>
        <v>16967770</v>
      </c>
      <c r="R146" s="1482">
        <f t="shared" si="59"/>
        <v>16967770</v>
      </c>
      <c r="S146" s="1455">
        <f t="shared" si="57"/>
        <v>0</v>
      </c>
      <c r="T146" s="1450">
        <f t="shared" si="58"/>
        <v>0</v>
      </c>
      <c r="U146" s="1450"/>
      <c r="V146" s="1450">
        <f t="shared" si="47"/>
        <v>0</v>
      </c>
      <c r="W146" s="1456"/>
      <c r="X146" s="1456"/>
      <c r="Y146" s="1456"/>
      <c r="Z146" s="1456"/>
      <c r="AA146" s="1456"/>
      <c r="AB146" s="1456"/>
      <c r="AC146" s="1456"/>
      <c r="AD146" s="1456"/>
      <c r="AE146" s="1456"/>
      <c r="AF146" s="1456"/>
      <c r="AG146" s="1456"/>
      <c r="AH146" s="1456"/>
      <c r="AI146" s="1456"/>
      <c r="AJ146" s="1456"/>
      <c r="AK146" s="1456"/>
      <c r="AL146" s="1456"/>
      <c r="AM146" s="1456"/>
      <c r="AN146" s="1456"/>
      <c r="AO146" s="1456"/>
      <c r="AP146" s="1456"/>
      <c r="AQ146" s="1456"/>
      <c r="AR146" s="1456"/>
      <c r="AS146" s="1456"/>
      <c r="AT146" s="1456"/>
      <c r="AU146" s="1456"/>
    </row>
    <row r="147" spans="1:47" s="1041" customFormat="1" ht="82.9" customHeight="1">
      <c r="A147" s="1048" t="s">
        <v>204</v>
      </c>
      <c r="B147" s="1048" t="s">
        <v>205</v>
      </c>
      <c r="C147" s="1048" t="s">
        <v>293</v>
      </c>
      <c r="D147" s="1049" t="s">
        <v>206</v>
      </c>
      <c r="E147" s="1020">
        <f t="shared" si="55"/>
        <v>1144900</v>
      </c>
      <c r="F147" s="1020">
        <v>1144900</v>
      </c>
      <c r="G147" s="1020"/>
      <c r="H147" s="1020"/>
      <c r="I147" s="1020"/>
      <c r="J147" s="1020">
        <f t="shared" si="56"/>
        <v>0</v>
      </c>
      <c r="K147" s="1040"/>
      <c r="L147" s="1040"/>
      <c r="M147" s="1040"/>
      <c r="N147" s="1020"/>
      <c r="O147" s="1040"/>
      <c r="P147" s="1040"/>
      <c r="Q147" s="1020">
        <f t="shared" si="53"/>
        <v>1144900</v>
      </c>
      <c r="R147" s="1482">
        <f t="shared" si="59"/>
        <v>1144900</v>
      </c>
      <c r="S147" s="1455">
        <f t="shared" si="57"/>
        <v>0</v>
      </c>
      <c r="T147" s="1450">
        <f t="shared" si="58"/>
        <v>0</v>
      </c>
      <c r="U147" s="1450"/>
      <c r="V147" s="1450">
        <f t="shared" si="47"/>
        <v>0</v>
      </c>
      <c r="W147" s="1456"/>
      <c r="X147" s="1456"/>
      <c r="Y147" s="1456"/>
      <c r="Z147" s="1456"/>
      <c r="AA147" s="1456"/>
      <c r="AB147" s="1456"/>
      <c r="AC147" s="1456"/>
      <c r="AD147" s="1456"/>
      <c r="AE147" s="1456"/>
      <c r="AF147" s="1456"/>
      <c r="AG147" s="1456"/>
      <c r="AH147" s="1456"/>
      <c r="AI147" s="1456"/>
      <c r="AJ147" s="1456"/>
      <c r="AK147" s="1456"/>
      <c r="AL147" s="1456"/>
      <c r="AM147" s="1456"/>
      <c r="AN147" s="1456"/>
      <c r="AO147" s="1456"/>
      <c r="AP147" s="1456"/>
      <c r="AQ147" s="1456"/>
      <c r="AR147" s="1456"/>
      <c r="AS147" s="1456"/>
      <c r="AT147" s="1456"/>
      <c r="AU147" s="1456"/>
    </row>
    <row r="148" spans="1:47" s="1041" customFormat="1" ht="81.599999999999994" customHeight="1">
      <c r="A148" s="1048" t="s">
        <v>207</v>
      </c>
      <c r="B148" s="1048" t="s">
        <v>208</v>
      </c>
      <c r="C148" s="1048" t="s">
        <v>293</v>
      </c>
      <c r="D148" s="1049" t="s">
        <v>57</v>
      </c>
      <c r="E148" s="1020">
        <f t="shared" si="55"/>
        <v>283800</v>
      </c>
      <c r="F148" s="1020">
        <v>283800</v>
      </c>
      <c r="G148" s="1020"/>
      <c r="H148" s="1020"/>
      <c r="I148" s="1020"/>
      <c r="J148" s="1020">
        <f t="shared" si="56"/>
        <v>0</v>
      </c>
      <c r="K148" s="1040"/>
      <c r="L148" s="1040"/>
      <c r="M148" s="1040"/>
      <c r="N148" s="1020"/>
      <c r="O148" s="1040"/>
      <c r="P148" s="1040"/>
      <c r="Q148" s="1020">
        <f t="shared" si="53"/>
        <v>283800</v>
      </c>
      <c r="R148" s="1482">
        <f t="shared" si="59"/>
        <v>283800</v>
      </c>
      <c r="S148" s="1455">
        <f t="shared" si="57"/>
        <v>0</v>
      </c>
      <c r="T148" s="1450">
        <f t="shared" si="58"/>
        <v>0</v>
      </c>
      <c r="U148" s="1450"/>
      <c r="V148" s="1450">
        <f t="shared" si="47"/>
        <v>0</v>
      </c>
      <c r="W148" s="1456"/>
      <c r="X148" s="1456"/>
      <c r="Y148" s="1456"/>
      <c r="Z148" s="1456"/>
      <c r="AA148" s="1456"/>
      <c r="AB148" s="1456"/>
      <c r="AC148" s="1456"/>
      <c r="AD148" s="1456"/>
      <c r="AE148" s="1456"/>
      <c r="AF148" s="1456"/>
      <c r="AG148" s="1456"/>
      <c r="AH148" s="1456"/>
      <c r="AI148" s="1456"/>
      <c r="AJ148" s="1456"/>
      <c r="AK148" s="1456"/>
      <c r="AL148" s="1456"/>
      <c r="AM148" s="1456"/>
      <c r="AN148" s="1456"/>
      <c r="AO148" s="1456"/>
      <c r="AP148" s="1456"/>
      <c r="AQ148" s="1456"/>
      <c r="AR148" s="1456"/>
      <c r="AS148" s="1456"/>
      <c r="AT148" s="1456"/>
      <c r="AU148" s="1456"/>
    </row>
    <row r="149" spans="1:47" s="1041" customFormat="1" ht="67.150000000000006" customHeight="1">
      <c r="A149" s="1017" t="s">
        <v>58</v>
      </c>
      <c r="B149" s="1017" t="s">
        <v>59</v>
      </c>
      <c r="C149" s="1017" t="s">
        <v>293</v>
      </c>
      <c r="D149" s="1018" t="s">
        <v>60</v>
      </c>
      <c r="E149" s="1020">
        <f t="shared" si="55"/>
        <v>1311700</v>
      </c>
      <c r="F149" s="1020">
        <v>1311700</v>
      </c>
      <c r="G149" s="1020"/>
      <c r="H149" s="1020"/>
      <c r="I149" s="1020"/>
      <c r="J149" s="1020">
        <f t="shared" si="56"/>
        <v>0</v>
      </c>
      <c r="K149" s="1040"/>
      <c r="L149" s="1040"/>
      <c r="M149" s="1040"/>
      <c r="N149" s="1020"/>
      <c r="O149" s="1040"/>
      <c r="P149" s="1040"/>
      <c r="Q149" s="1020">
        <f t="shared" si="53"/>
        <v>1311700</v>
      </c>
      <c r="R149" s="1482">
        <f t="shared" si="59"/>
        <v>1311700</v>
      </c>
      <c r="S149" s="1455">
        <f t="shared" si="57"/>
        <v>0</v>
      </c>
      <c r="T149" s="1450">
        <f t="shared" si="58"/>
        <v>0</v>
      </c>
      <c r="U149" s="1450"/>
      <c r="V149" s="1450">
        <f t="shared" si="47"/>
        <v>0</v>
      </c>
      <c r="W149" s="1456"/>
      <c r="X149" s="1456"/>
      <c r="Y149" s="1456"/>
      <c r="Z149" s="1456"/>
      <c r="AA149" s="1456"/>
      <c r="AB149" s="1456"/>
      <c r="AC149" s="1456"/>
      <c r="AD149" s="1456"/>
      <c r="AE149" s="1456"/>
      <c r="AF149" s="1456"/>
      <c r="AG149" s="1456"/>
      <c r="AH149" s="1456"/>
      <c r="AI149" s="1456"/>
      <c r="AJ149" s="1456"/>
      <c r="AK149" s="1456"/>
      <c r="AL149" s="1456"/>
      <c r="AM149" s="1456"/>
      <c r="AN149" s="1456"/>
      <c r="AO149" s="1456"/>
      <c r="AP149" s="1456"/>
      <c r="AQ149" s="1456"/>
      <c r="AR149" s="1456"/>
      <c r="AS149" s="1456"/>
      <c r="AT149" s="1456"/>
      <c r="AU149" s="1456"/>
    </row>
    <row r="150" spans="1:47" s="1041" customFormat="1" ht="73.900000000000006" customHeight="1">
      <c r="A150" s="1048" t="s">
        <v>61</v>
      </c>
      <c r="B150" s="1048" t="s">
        <v>62</v>
      </c>
      <c r="C150" s="1048" t="s">
        <v>293</v>
      </c>
      <c r="D150" s="1049" t="s">
        <v>317</v>
      </c>
      <c r="E150" s="1020">
        <f t="shared" si="55"/>
        <v>1031900</v>
      </c>
      <c r="F150" s="1020">
        <v>1031900</v>
      </c>
      <c r="G150" s="1020">
        <v>465400</v>
      </c>
      <c r="H150" s="1020">
        <v>25600</v>
      </c>
      <c r="I150" s="1020"/>
      <c r="J150" s="1020">
        <f t="shared" si="56"/>
        <v>26800</v>
      </c>
      <c r="K150" s="1040"/>
      <c r="L150" s="1040"/>
      <c r="M150" s="1040"/>
      <c r="N150" s="1020">
        <v>26800</v>
      </c>
      <c r="O150" s="1040">
        <v>26800</v>
      </c>
      <c r="P150" s="1040">
        <v>26800</v>
      </c>
      <c r="Q150" s="1020">
        <f t="shared" si="53"/>
        <v>1058700</v>
      </c>
      <c r="R150" s="1482">
        <f t="shared" si="59"/>
        <v>1058700</v>
      </c>
      <c r="S150" s="1455">
        <f t="shared" si="57"/>
        <v>0</v>
      </c>
      <c r="T150" s="1450">
        <f t="shared" si="58"/>
        <v>0</v>
      </c>
      <c r="U150" s="1450"/>
      <c r="V150" s="1450">
        <f t="shared" si="47"/>
        <v>0</v>
      </c>
      <c r="W150" s="1456"/>
      <c r="X150" s="1456"/>
      <c r="Y150" s="1456"/>
      <c r="Z150" s="1456"/>
      <c r="AA150" s="1456"/>
      <c r="AB150" s="1456"/>
      <c r="AC150" s="1456"/>
      <c r="AD150" s="1456"/>
      <c r="AE150" s="1456"/>
      <c r="AF150" s="1456"/>
      <c r="AG150" s="1456"/>
      <c r="AH150" s="1456"/>
      <c r="AI150" s="1456"/>
      <c r="AJ150" s="1456"/>
      <c r="AK150" s="1456"/>
      <c r="AL150" s="1456"/>
      <c r="AM150" s="1456"/>
      <c r="AN150" s="1456"/>
      <c r="AO150" s="1456"/>
      <c r="AP150" s="1456"/>
      <c r="AQ150" s="1456"/>
      <c r="AR150" s="1456"/>
      <c r="AS150" s="1456"/>
      <c r="AT150" s="1456"/>
      <c r="AU150" s="1456"/>
    </row>
    <row r="151" spans="1:47" s="1041" customFormat="1" ht="51.6" customHeight="1">
      <c r="A151" s="1048" t="s">
        <v>320</v>
      </c>
      <c r="B151" s="1048" t="s">
        <v>319</v>
      </c>
      <c r="C151" s="1048" t="s">
        <v>293</v>
      </c>
      <c r="D151" s="1049" t="s">
        <v>318</v>
      </c>
      <c r="E151" s="1020">
        <f t="shared" si="55"/>
        <v>10198600</v>
      </c>
      <c r="F151" s="1020">
        <v>10198600</v>
      </c>
      <c r="G151" s="1020">
        <v>3383100</v>
      </c>
      <c r="H151" s="1020">
        <v>9200</v>
      </c>
      <c r="I151" s="1020"/>
      <c r="J151" s="1020">
        <f t="shared" si="56"/>
        <v>1110000</v>
      </c>
      <c r="K151" s="1040"/>
      <c r="L151" s="1040"/>
      <c r="M151" s="1040"/>
      <c r="N151" s="1020">
        <v>1110000</v>
      </c>
      <c r="O151" s="1040">
        <v>1110000</v>
      </c>
      <c r="P151" s="1040">
        <v>1110000</v>
      </c>
      <c r="Q151" s="1020">
        <f t="shared" si="53"/>
        <v>11308600</v>
      </c>
      <c r="R151" s="1482">
        <f t="shared" si="59"/>
        <v>11308600</v>
      </c>
      <c r="S151" s="1455">
        <f t="shared" si="57"/>
        <v>0</v>
      </c>
      <c r="T151" s="1450">
        <f t="shared" si="58"/>
        <v>0</v>
      </c>
      <c r="U151" s="1450"/>
      <c r="V151" s="1450">
        <f t="shared" si="47"/>
        <v>0</v>
      </c>
      <c r="W151" s="1456"/>
      <c r="X151" s="1456"/>
      <c r="Y151" s="1456"/>
      <c r="Z151" s="1456"/>
      <c r="AA151" s="1456"/>
      <c r="AB151" s="1456"/>
      <c r="AC151" s="1456"/>
      <c r="AD151" s="1456"/>
      <c r="AE151" s="1456"/>
      <c r="AF151" s="1456"/>
      <c r="AG151" s="1456"/>
      <c r="AH151" s="1456"/>
      <c r="AI151" s="1456"/>
      <c r="AJ151" s="1456"/>
      <c r="AK151" s="1456"/>
      <c r="AL151" s="1456"/>
      <c r="AM151" s="1456"/>
      <c r="AN151" s="1456"/>
      <c r="AO151" s="1456"/>
      <c r="AP151" s="1456"/>
      <c r="AQ151" s="1456"/>
      <c r="AR151" s="1456"/>
      <c r="AS151" s="1456"/>
      <c r="AT151" s="1456"/>
      <c r="AU151" s="1456"/>
    </row>
    <row r="152" spans="1:47" s="1041" customFormat="1" ht="88.9" customHeight="1">
      <c r="A152" s="1017" t="s">
        <v>542</v>
      </c>
      <c r="B152" s="1017" t="s">
        <v>541</v>
      </c>
      <c r="C152" s="1017" t="s">
        <v>543</v>
      </c>
      <c r="D152" s="1018" t="s">
        <v>785</v>
      </c>
      <c r="E152" s="1020">
        <f t="shared" si="55"/>
        <v>47100</v>
      </c>
      <c r="F152" s="1020">
        <v>47100</v>
      </c>
      <c r="G152" s="1020"/>
      <c r="H152" s="1020"/>
      <c r="I152" s="1020"/>
      <c r="J152" s="1020">
        <f t="shared" si="56"/>
        <v>16300</v>
      </c>
      <c r="K152" s="1040">
        <v>16300</v>
      </c>
      <c r="L152" s="1040"/>
      <c r="M152" s="1040"/>
      <c r="N152" s="1020"/>
      <c r="O152" s="1040"/>
      <c r="P152" s="1040"/>
      <c r="Q152" s="1020">
        <f t="shared" si="53"/>
        <v>63400</v>
      </c>
      <c r="R152" s="1482">
        <f t="shared" si="59"/>
        <v>63400</v>
      </c>
      <c r="S152" s="1455">
        <f t="shared" si="57"/>
        <v>0</v>
      </c>
      <c r="T152" s="1450">
        <f t="shared" si="58"/>
        <v>0</v>
      </c>
      <c r="U152" s="1450"/>
      <c r="V152" s="1450">
        <f t="shared" si="47"/>
        <v>0</v>
      </c>
      <c r="W152" s="1456"/>
      <c r="X152" s="1456"/>
      <c r="Y152" s="1456"/>
      <c r="Z152" s="1456"/>
      <c r="AA152" s="1456"/>
      <c r="AB152" s="1456"/>
      <c r="AC152" s="1456"/>
      <c r="AD152" s="1456"/>
      <c r="AE152" s="1456"/>
      <c r="AF152" s="1456"/>
      <c r="AG152" s="1456"/>
      <c r="AH152" s="1456"/>
      <c r="AI152" s="1456"/>
      <c r="AJ152" s="1456"/>
      <c r="AK152" s="1456"/>
      <c r="AL152" s="1456"/>
      <c r="AM152" s="1456"/>
      <c r="AN152" s="1456"/>
      <c r="AO152" s="1456"/>
      <c r="AP152" s="1456"/>
      <c r="AQ152" s="1456"/>
      <c r="AR152" s="1456"/>
      <c r="AS152" s="1456"/>
      <c r="AT152" s="1456"/>
      <c r="AU152" s="1456"/>
    </row>
    <row r="153" spans="1:47" s="1041" customFormat="1" ht="47.45" customHeight="1">
      <c r="A153" s="1017" t="s">
        <v>956</v>
      </c>
      <c r="B153" s="1017" t="s">
        <v>747</v>
      </c>
      <c r="C153" s="1017" t="s">
        <v>521</v>
      </c>
      <c r="D153" s="1018" t="s">
        <v>1026</v>
      </c>
      <c r="E153" s="1020">
        <f t="shared" si="55"/>
        <v>0</v>
      </c>
      <c r="F153" s="1020"/>
      <c r="G153" s="1020"/>
      <c r="H153" s="1020"/>
      <c r="I153" s="1020"/>
      <c r="J153" s="1020">
        <f t="shared" si="56"/>
        <v>200000</v>
      </c>
      <c r="K153" s="1040"/>
      <c r="L153" s="1040"/>
      <c r="M153" s="1040"/>
      <c r="N153" s="1020">
        <v>200000</v>
      </c>
      <c r="O153" s="1040">
        <v>200000</v>
      </c>
      <c r="P153" s="1040">
        <v>200000</v>
      </c>
      <c r="Q153" s="1020">
        <f t="shared" si="53"/>
        <v>200000</v>
      </c>
      <c r="R153" s="1482">
        <f t="shared" si="59"/>
        <v>200000</v>
      </c>
      <c r="S153" s="1455"/>
      <c r="T153" s="1450">
        <f t="shared" si="58"/>
        <v>0</v>
      </c>
      <c r="U153" s="1450"/>
      <c r="V153" s="1450">
        <f t="shared" si="47"/>
        <v>0</v>
      </c>
      <c r="W153" s="1456"/>
      <c r="X153" s="1456"/>
      <c r="Y153" s="1456"/>
      <c r="Z153" s="1456"/>
      <c r="AA153" s="1456"/>
      <c r="AB153" s="1456"/>
      <c r="AC153" s="1456"/>
      <c r="AD153" s="1456"/>
      <c r="AE153" s="1456"/>
      <c r="AF153" s="1456"/>
      <c r="AG153" s="1456"/>
      <c r="AH153" s="1456"/>
      <c r="AI153" s="1456"/>
      <c r="AJ153" s="1456"/>
      <c r="AK153" s="1456"/>
      <c r="AL153" s="1456"/>
      <c r="AM153" s="1456"/>
      <c r="AN153" s="1456"/>
      <c r="AO153" s="1456"/>
      <c r="AP153" s="1456"/>
      <c r="AQ153" s="1456"/>
      <c r="AR153" s="1456"/>
      <c r="AS153" s="1456"/>
      <c r="AT153" s="1456"/>
      <c r="AU153" s="1456"/>
    </row>
    <row r="154" spans="1:47" s="455" customFormat="1" ht="46.9" hidden="1" customHeight="1">
      <c r="A154" s="42" t="s">
        <v>838</v>
      </c>
      <c r="B154" s="42" t="s">
        <v>749</v>
      </c>
      <c r="C154" s="42" t="s">
        <v>278</v>
      </c>
      <c r="D154" s="41" t="s">
        <v>750</v>
      </c>
      <c r="E154" s="319">
        <f t="shared" si="55"/>
        <v>0</v>
      </c>
      <c r="F154" s="316"/>
      <c r="G154" s="316"/>
      <c r="H154" s="316"/>
      <c r="I154" s="316"/>
      <c r="J154" s="319">
        <f t="shared" si="56"/>
        <v>0</v>
      </c>
      <c r="K154" s="323"/>
      <c r="L154" s="323"/>
      <c r="M154" s="323"/>
      <c r="N154" s="316"/>
      <c r="O154" s="323"/>
      <c r="P154" s="323"/>
      <c r="Q154" s="319">
        <f t="shared" si="53"/>
        <v>0</v>
      </c>
      <c r="R154" s="1481">
        <f t="shared" si="59"/>
        <v>0</v>
      </c>
      <c r="S154" s="284"/>
      <c r="T154" s="1006">
        <f t="shared" si="58"/>
        <v>0</v>
      </c>
      <c r="U154" s="536"/>
      <c r="V154" s="536">
        <f t="shared" si="47"/>
        <v>0</v>
      </c>
    </row>
    <row r="155" spans="1:47" s="455" customFormat="1" ht="78" customHeight="1">
      <c r="A155" s="42" t="s">
        <v>821</v>
      </c>
      <c r="B155" s="42" t="s">
        <v>822</v>
      </c>
      <c r="C155" s="42" t="s">
        <v>10</v>
      </c>
      <c r="D155" s="41" t="s">
        <v>823</v>
      </c>
      <c r="E155" s="319">
        <f t="shared" si="55"/>
        <v>0</v>
      </c>
      <c r="F155" s="316"/>
      <c r="G155" s="316"/>
      <c r="H155" s="316"/>
      <c r="I155" s="316"/>
      <c r="J155" s="1207">
        <f t="shared" si="56"/>
        <v>82735.899999999994</v>
      </c>
      <c r="K155" s="1209">
        <v>82735.899999999994</v>
      </c>
      <c r="L155" s="323"/>
      <c r="M155" s="323"/>
      <c r="N155" s="316"/>
      <c r="O155" s="323"/>
      <c r="P155" s="323"/>
      <c r="Q155" s="1207">
        <f t="shared" si="53"/>
        <v>82735.899999999994</v>
      </c>
      <c r="R155" s="1482">
        <f t="shared" si="59"/>
        <v>82735.899999999994</v>
      </c>
      <c r="S155" s="1468"/>
      <c r="T155" s="1450">
        <f t="shared" si="58"/>
        <v>0</v>
      </c>
      <c r="U155" s="1450"/>
      <c r="V155" s="1450">
        <f t="shared" si="47"/>
        <v>0</v>
      </c>
      <c r="W155" s="1449"/>
      <c r="X155" s="1449"/>
      <c r="Y155" s="1449"/>
      <c r="Z155" s="1449"/>
      <c r="AA155" s="1449"/>
      <c r="AB155" s="1449"/>
      <c r="AC155" s="1449"/>
      <c r="AD155" s="1449"/>
      <c r="AE155" s="1449"/>
      <c r="AF155" s="1449"/>
      <c r="AG155" s="1449"/>
      <c r="AH155" s="1449"/>
      <c r="AI155" s="1449"/>
      <c r="AJ155" s="1449"/>
      <c r="AK155" s="1449"/>
      <c r="AL155" s="1449"/>
      <c r="AM155" s="1449"/>
      <c r="AN155" s="1449"/>
      <c r="AO155" s="1449"/>
      <c r="AP155" s="1449"/>
      <c r="AQ155" s="1449"/>
      <c r="AR155" s="1449"/>
      <c r="AS155" s="1449"/>
      <c r="AT155" s="1449"/>
      <c r="AU155" s="1449"/>
    </row>
    <row r="156" spans="1:47" s="1036" customFormat="1" ht="47.25">
      <c r="A156" s="1033" t="s">
        <v>544</v>
      </c>
      <c r="B156" s="1033"/>
      <c r="C156" s="1033"/>
      <c r="D156" s="1024" t="s">
        <v>896</v>
      </c>
      <c r="E156" s="908">
        <f>E195+E185+E165+E166+E171+E162+E177+E179+E172+E173+E174+E158+E184+E181+E176+E164+E196+E197+E199+E198+E178+E168+E167+E183+E187+E190+E189+E193+E194+E180+E192+E182+E169+E188+E170+E159+E160+E163+E186+E191+E175+E161</f>
        <v>5470000</v>
      </c>
      <c r="F156" s="908">
        <f t="shared" ref="F156:Q156" si="60">F195+F185+F165+F166+F171+F162+F177+F179+F172+F173+F174+F158+F184+F181+F176+F164+F196+F197+F199+F198+F178+F168+F167+F183+F187+F190+F189+F193+F194+F180+F192+F182+F169+F188+F170+F159+F160+F163+F186+F191+F175+F161</f>
        <v>5470000</v>
      </c>
      <c r="G156" s="908">
        <f t="shared" si="60"/>
        <v>0</v>
      </c>
      <c r="H156" s="908">
        <f t="shared" si="60"/>
        <v>0</v>
      </c>
      <c r="I156" s="908">
        <f t="shared" si="60"/>
        <v>0</v>
      </c>
      <c r="J156" s="908">
        <f t="shared" si="60"/>
        <v>284435011</v>
      </c>
      <c r="K156" s="908">
        <f t="shared" si="60"/>
        <v>0</v>
      </c>
      <c r="L156" s="908">
        <f t="shared" si="60"/>
        <v>0</v>
      </c>
      <c r="M156" s="908">
        <f t="shared" si="60"/>
        <v>0</v>
      </c>
      <c r="N156" s="908">
        <f t="shared" si="60"/>
        <v>284435011</v>
      </c>
      <c r="O156" s="908">
        <f t="shared" si="60"/>
        <v>274987111</v>
      </c>
      <c r="P156" s="908">
        <f t="shared" si="60"/>
        <v>170006044</v>
      </c>
      <c r="Q156" s="908">
        <f t="shared" si="60"/>
        <v>289905011</v>
      </c>
      <c r="R156" s="1482">
        <f t="shared" si="59"/>
        <v>289905011</v>
      </c>
      <c r="S156" s="1455"/>
      <c r="T156" s="1450">
        <f t="shared" si="58"/>
        <v>-104981067</v>
      </c>
      <c r="U156" s="1450"/>
      <c r="V156" s="1450">
        <f t="shared" si="47"/>
        <v>-9447900</v>
      </c>
      <c r="W156" s="1459"/>
      <c r="X156" s="1459"/>
      <c r="Y156" s="1459"/>
      <c r="Z156" s="1459"/>
      <c r="AA156" s="1459"/>
      <c r="AB156" s="1459"/>
      <c r="AC156" s="1459"/>
      <c r="AD156" s="1459"/>
      <c r="AE156" s="1459"/>
      <c r="AF156" s="1459"/>
      <c r="AG156" s="1459"/>
      <c r="AH156" s="1459"/>
      <c r="AI156" s="1459"/>
      <c r="AJ156" s="1459"/>
      <c r="AK156" s="1459"/>
      <c r="AL156" s="1459"/>
      <c r="AM156" s="1459"/>
      <c r="AN156" s="1459"/>
      <c r="AO156" s="1459"/>
      <c r="AP156" s="1459"/>
      <c r="AQ156" s="1459"/>
      <c r="AR156" s="1459"/>
      <c r="AS156" s="1459"/>
      <c r="AT156" s="1459"/>
      <c r="AU156" s="1459"/>
    </row>
    <row r="157" spans="1:47" s="1036" customFormat="1" ht="47.25">
      <c r="A157" s="1033" t="s">
        <v>545</v>
      </c>
      <c r="B157" s="1033"/>
      <c r="C157" s="1033"/>
      <c r="D157" s="1024" t="s">
        <v>896</v>
      </c>
      <c r="E157" s="908">
        <f t="shared" ref="E157:Q157" si="61">SUM(E158:E199)</f>
        <v>5470000</v>
      </c>
      <c r="F157" s="908">
        <f t="shared" si="61"/>
        <v>5470000</v>
      </c>
      <c r="G157" s="908">
        <f t="shared" si="61"/>
        <v>0</v>
      </c>
      <c r="H157" s="908">
        <f t="shared" si="61"/>
        <v>0</v>
      </c>
      <c r="I157" s="908">
        <f t="shared" si="61"/>
        <v>0</v>
      </c>
      <c r="J157" s="908">
        <f t="shared" si="61"/>
        <v>284435011</v>
      </c>
      <c r="K157" s="908">
        <f t="shared" si="61"/>
        <v>0</v>
      </c>
      <c r="L157" s="908">
        <f t="shared" si="61"/>
        <v>0</v>
      </c>
      <c r="M157" s="908">
        <f t="shared" si="61"/>
        <v>0</v>
      </c>
      <c r="N157" s="908">
        <f t="shared" si="61"/>
        <v>284435011</v>
      </c>
      <c r="O157" s="908">
        <f t="shared" si="61"/>
        <v>274987111</v>
      </c>
      <c r="P157" s="908">
        <f t="shared" si="61"/>
        <v>170006044</v>
      </c>
      <c r="Q157" s="908">
        <f t="shared" si="61"/>
        <v>289905011</v>
      </c>
      <c r="R157" s="1482">
        <f t="shared" si="59"/>
        <v>289905011</v>
      </c>
      <c r="S157" s="1455">
        <f t="shared" si="57"/>
        <v>0</v>
      </c>
      <c r="T157" s="1450">
        <f t="shared" si="58"/>
        <v>-104981067</v>
      </c>
      <c r="U157" s="1450"/>
      <c r="V157" s="1450">
        <f t="shared" si="47"/>
        <v>-9447900</v>
      </c>
      <c r="W157" s="1459"/>
      <c r="X157" s="1459"/>
      <c r="Y157" s="1459"/>
      <c r="Z157" s="1459"/>
      <c r="AA157" s="1459"/>
      <c r="AB157" s="1459"/>
      <c r="AC157" s="1459"/>
      <c r="AD157" s="1459"/>
      <c r="AE157" s="1459"/>
      <c r="AF157" s="1459"/>
      <c r="AG157" s="1459"/>
      <c r="AH157" s="1459"/>
      <c r="AI157" s="1459"/>
      <c r="AJ157" s="1459"/>
      <c r="AK157" s="1459"/>
      <c r="AL157" s="1459"/>
      <c r="AM157" s="1459"/>
      <c r="AN157" s="1459"/>
      <c r="AO157" s="1459"/>
      <c r="AP157" s="1459"/>
      <c r="AQ157" s="1459"/>
      <c r="AR157" s="1459"/>
      <c r="AS157" s="1459"/>
      <c r="AT157" s="1459"/>
      <c r="AU157" s="1459"/>
    </row>
    <row r="158" spans="1:47" ht="108.6" customHeight="1">
      <c r="A158" s="1015" t="s">
        <v>546</v>
      </c>
      <c r="B158" s="1015" t="s">
        <v>15</v>
      </c>
      <c r="C158" s="1015" t="s">
        <v>12</v>
      </c>
      <c r="D158" s="1022" t="s">
        <v>16</v>
      </c>
      <c r="E158" s="1050">
        <f t="shared" ref="E158:E171" si="62">F158+I158</f>
        <v>0</v>
      </c>
      <c r="F158" s="1050"/>
      <c r="G158" s="1050"/>
      <c r="H158" s="1050"/>
      <c r="I158" s="1050"/>
      <c r="J158" s="1050">
        <f t="shared" ref="J158:J171" si="63">+K158+N158</f>
        <v>430000</v>
      </c>
      <c r="K158" s="1050"/>
      <c r="L158" s="1050"/>
      <c r="M158" s="1050"/>
      <c r="N158" s="1050">
        <v>430000</v>
      </c>
      <c r="O158" s="1050">
        <v>430000</v>
      </c>
      <c r="P158" s="1050">
        <v>430000</v>
      </c>
      <c r="Q158" s="1013">
        <f t="shared" ref="Q158:Q171" si="64">+J158+E158</f>
        <v>430000</v>
      </c>
      <c r="R158" s="1482">
        <f t="shared" si="59"/>
        <v>430000</v>
      </c>
      <c r="S158" s="1455">
        <f t="shared" si="57"/>
        <v>0</v>
      </c>
      <c r="T158" s="1450">
        <f t="shared" si="58"/>
        <v>0</v>
      </c>
      <c r="U158" s="1450"/>
      <c r="V158" s="1450">
        <f t="shared" si="47"/>
        <v>0</v>
      </c>
      <c r="W158" s="1449"/>
      <c r="X158" s="1449"/>
      <c r="Y158" s="1449"/>
      <c r="Z158" s="1449"/>
      <c r="AA158" s="1449"/>
      <c r="AB158" s="1449"/>
      <c r="AC158" s="1449"/>
      <c r="AD158" s="1449"/>
      <c r="AE158" s="1449"/>
      <c r="AF158" s="1449"/>
      <c r="AG158" s="1449"/>
      <c r="AH158" s="1449"/>
      <c r="AI158" s="1449"/>
      <c r="AJ158" s="1449"/>
      <c r="AK158" s="1449"/>
      <c r="AL158" s="1449"/>
      <c r="AM158" s="1449"/>
      <c r="AN158" s="1449"/>
      <c r="AO158" s="1449"/>
      <c r="AP158" s="1449"/>
      <c r="AQ158" s="1449"/>
      <c r="AR158" s="1449"/>
      <c r="AS158" s="1449"/>
      <c r="AT158" s="1449"/>
      <c r="AU158" s="1449"/>
    </row>
    <row r="159" spans="1:47" ht="139.15" customHeight="1">
      <c r="A159" s="1015" t="s">
        <v>948</v>
      </c>
      <c r="B159" s="1015" t="s">
        <v>17</v>
      </c>
      <c r="C159" s="1015" t="s">
        <v>12</v>
      </c>
      <c r="D159" s="1022" t="s">
        <v>358</v>
      </c>
      <c r="E159" s="1050">
        <f t="shared" si="62"/>
        <v>0</v>
      </c>
      <c r="F159" s="1050"/>
      <c r="G159" s="1050"/>
      <c r="H159" s="1050"/>
      <c r="I159" s="1050"/>
      <c r="J159" s="1050">
        <f t="shared" si="63"/>
        <v>11633722</v>
      </c>
      <c r="K159" s="1050"/>
      <c r="L159" s="1050"/>
      <c r="M159" s="1050"/>
      <c r="N159" s="1050">
        <v>11633722</v>
      </c>
      <c r="O159" s="1050">
        <v>11633722</v>
      </c>
      <c r="P159" s="1050">
        <v>11633722</v>
      </c>
      <c r="Q159" s="1013">
        <f t="shared" si="64"/>
        <v>11633722</v>
      </c>
      <c r="R159" s="1482">
        <f t="shared" si="59"/>
        <v>11633722</v>
      </c>
      <c r="S159" s="1455"/>
      <c r="T159" s="1450">
        <f t="shared" si="58"/>
        <v>0</v>
      </c>
      <c r="U159" s="1450"/>
      <c r="V159" s="1450">
        <f t="shared" si="47"/>
        <v>0</v>
      </c>
      <c r="W159" s="1449"/>
      <c r="X159" s="1449"/>
      <c r="Y159" s="1449"/>
      <c r="Z159" s="1449"/>
      <c r="AA159" s="1449"/>
      <c r="AB159" s="1449"/>
      <c r="AC159" s="1449"/>
      <c r="AD159" s="1449"/>
      <c r="AE159" s="1449"/>
      <c r="AF159" s="1449"/>
      <c r="AG159" s="1449"/>
      <c r="AH159" s="1449"/>
      <c r="AI159" s="1449"/>
      <c r="AJ159" s="1449"/>
      <c r="AK159" s="1449"/>
      <c r="AL159" s="1449"/>
      <c r="AM159" s="1449"/>
      <c r="AN159" s="1449"/>
      <c r="AO159" s="1449"/>
      <c r="AP159" s="1449"/>
      <c r="AQ159" s="1449"/>
      <c r="AR159" s="1449"/>
      <c r="AS159" s="1449"/>
      <c r="AT159" s="1449"/>
      <c r="AU159" s="1449"/>
    </row>
    <row r="160" spans="1:47" s="1014" customFormat="1" ht="47.25">
      <c r="A160" s="1015" t="s">
        <v>968</v>
      </c>
      <c r="B160" s="1015" t="s">
        <v>5</v>
      </c>
      <c r="C160" s="1015" t="s">
        <v>18</v>
      </c>
      <c r="D160" s="1022" t="s">
        <v>217</v>
      </c>
      <c r="E160" s="1013">
        <f t="shared" si="62"/>
        <v>0</v>
      </c>
      <c r="F160" s="1013"/>
      <c r="G160" s="1013"/>
      <c r="H160" s="1013"/>
      <c r="I160" s="1013"/>
      <c r="J160" s="1013">
        <f t="shared" si="63"/>
        <v>60000</v>
      </c>
      <c r="K160" s="1013"/>
      <c r="L160" s="1013"/>
      <c r="M160" s="1013"/>
      <c r="N160" s="1013">
        <v>60000</v>
      </c>
      <c r="O160" s="1013">
        <v>60000</v>
      </c>
      <c r="P160" s="1013">
        <v>60000</v>
      </c>
      <c r="Q160" s="1013">
        <f>+J160+E160</f>
        <v>60000</v>
      </c>
      <c r="R160" s="1482">
        <f t="shared" si="59"/>
        <v>60000</v>
      </c>
      <c r="S160" s="1451">
        <f>R160-Q160</f>
        <v>0</v>
      </c>
      <c r="T160" s="1450">
        <f t="shared" si="58"/>
        <v>0</v>
      </c>
      <c r="U160" s="1450"/>
      <c r="V160" s="1450">
        <f t="shared" si="47"/>
        <v>0</v>
      </c>
      <c r="W160" s="1453"/>
      <c r="X160" s="1453"/>
      <c r="Y160" s="1453"/>
      <c r="Z160" s="1453"/>
      <c r="AA160" s="1453"/>
      <c r="AB160" s="1453"/>
      <c r="AC160" s="1453"/>
      <c r="AD160" s="1453"/>
      <c r="AE160" s="1453"/>
      <c r="AF160" s="1453"/>
      <c r="AG160" s="1453"/>
      <c r="AH160" s="1453"/>
      <c r="AI160" s="1453"/>
      <c r="AJ160" s="1453"/>
      <c r="AK160" s="1453"/>
      <c r="AL160" s="1453"/>
      <c r="AM160" s="1453"/>
      <c r="AN160" s="1453"/>
      <c r="AO160" s="1453"/>
      <c r="AP160" s="1453"/>
      <c r="AQ160" s="1453"/>
      <c r="AR160" s="1453"/>
      <c r="AS160" s="1453"/>
      <c r="AT160" s="1453"/>
      <c r="AU160" s="1453"/>
    </row>
    <row r="161" spans="1:47" s="1014" customFormat="1" ht="31.5">
      <c r="A161" s="1015" t="s">
        <v>2013</v>
      </c>
      <c r="B161" s="1015" t="s">
        <v>420</v>
      </c>
      <c r="C161" s="1015" t="s">
        <v>19</v>
      </c>
      <c r="D161" s="1022" t="s">
        <v>779</v>
      </c>
      <c r="E161" s="1050"/>
      <c r="F161" s="1050"/>
      <c r="G161" s="1050"/>
      <c r="H161" s="1050"/>
      <c r="I161" s="1050"/>
      <c r="J161" s="1050">
        <f t="shared" si="63"/>
        <v>186000</v>
      </c>
      <c r="K161" s="1050"/>
      <c r="L161" s="1050"/>
      <c r="M161" s="1050"/>
      <c r="N161" s="1050">
        <v>186000</v>
      </c>
      <c r="O161" s="1050">
        <v>186000</v>
      </c>
      <c r="P161" s="1050">
        <v>186000</v>
      </c>
      <c r="Q161" s="1013">
        <f>+J161+E161</f>
        <v>186000</v>
      </c>
      <c r="R161" s="1482">
        <f t="shared" si="59"/>
        <v>186000</v>
      </c>
      <c r="S161" s="1451"/>
      <c r="T161" s="1450">
        <f t="shared" si="58"/>
        <v>0</v>
      </c>
      <c r="U161" s="1450"/>
      <c r="V161" s="1450"/>
      <c r="W161" s="1453"/>
      <c r="X161" s="1453"/>
      <c r="Y161" s="1453"/>
      <c r="Z161" s="1453"/>
      <c r="AA161" s="1453"/>
      <c r="AB161" s="1453"/>
      <c r="AC161" s="1453"/>
      <c r="AD161" s="1453"/>
      <c r="AE161" s="1453"/>
      <c r="AF161" s="1453"/>
      <c r="AG161" s="1453"/>
      <c r="AH161" s="1453"/>
      <c r="AI161" s="1453"/>
      <c r="AJ161" s="1453"/>
      <c r="AK161" s="1453"/>
      <c r="AL161" s="1453"/>
      <c r="AM161" s="1453"/>
      <c r="AN161" s="1453"/>
      <c r="AO161" s="1453"/>
      <c r="AP161" s="1453"/>
      <c r="AQ161" s="1453"/>
      <c r="AR161" s="1453"/>
      <c r="AS161" s="1453"/>
      <c r="AT161" s="1453"/>
      <c r="AU161" s="1453"/>
    </row>
    <row r="162" spans="1:47" ht="47.25">
      <c r="A162" s="1015" t="s">
        <v>547</v>
      </c>
      <c r="B162" s="1015" t="s">
        <v>20</v>
      </c>
      <c r="C162" s="1015" t="s">
        <v>21</v>
      </c>
      <c r="D162" s="1022" t="s">
        <v>421</v>
      </c>
      <c r="E162" s="1050">
        <f t="shared" si="62"/>
        <v>0</v>
      </c>
      <c r="F162" s="1050"/>
      <c r="G162" s="1050"/>
      <c r="H162" s="1050"/>
      <c r="I162" s="1050"/>
      <c r="J162" s="1050">
        <f t="shared" si="63"/>
        <v>4367646</v>
      </c>
      <c r="K162" s="1292"/>
      <c r="L162" s="1292"/>
      <c r="M162" s="1292"/>
      <c r="N162" s="1050">
        <v>4367646</v>
      </c>
      <c r="O162" s="1050">
        <v>4367646</v>
      </c>
      <c r="P162" s="1050">
        <v>4367646</v>
      </c>
      <c r="Q162" s="1013">
        <f>+J162+E162</f>
        <v>4367646</v>
      </c>
      <c r="R162" s="1482">
        <f t="shared" si="59"/>
        <v>4367646</v>
      </c>
      <c r="S162" s="1455">
        <f t="shared" si="57"/>
        <v>0</v>
      </c>
      <c r="T162" s="1450">
        <f t="shared" si="58"/>
        <v>0</v>
      </c>
      <c r="U162" s="1450"/>
      <c r="V162" s="1450">
        <f t="shared" si="47"/>
        <v>0</v>
      </c>
      <c r="W162" s="1449"/>
      <c r="X162" s="1449"/>
      <c r="Y162" s="1449"/>
      <c r="Z162" s="1449"/>
      <c r="AA162" s="1449"/>
      <c r="AB162" s="1449"/>
      <c r="AC162" s="1449"/>
      <c r="AD162" s="1449"/>
      <c r="AE162" s="1449"/>
      <c r="AF162" s="1449"/>
      <c r="AG162" s="1449"/>
      <c r="AH162" s="1449"/>
      <c r="AI162" s="1449"/>
      <c r="AJ162" s="1449"/>
      <c r="AK162" s="1449"/>
      <c r="AL162" s="1449"/>
      <c r="AM162" s="1449"/>
      <c r="AN162" s="1449"/>
      <c r="AO162" s="1449"/>
      <c r="AP162" s="1449"/>
      <c r="AQ162" s="1449"/>
      <c r="AR162" s="1449"/>
      <c r="AS162" s="1449"/>
      <c r="AT162" s="1449"/>
      <c r="AU162" s="1449"/>
    </row>
    <row r="163" spans="1:47" ht="63.6" customHeight="1">
      <c r="A163" s="1015" t="s">
        <v>969</v>
      </c>
      <c r="B163" s="1015" t="s">
        <v>638</v>
      </c>
      <c r="C163" s="1015" t="s">
        <v>639</v>
      </c>
      <c r="D163" s="1022" t="s">
        <v>640</v>
      </c>
      <c r="E163" s="1051">
        <f t="shared" si="62"/>
        <v>0</v>
      </c>
      <c r="F163" s="1051"/>
      <c r="G163" s="1051"/>
      <c r="H163" s="1051"/>
      <c r="I163" s="1051"/>
      <c r="J163" s="1051">
        <f t="shared" si="63"/>
        <v>310000</v>
      </c>
      <c r="K163" s="1051"/>
      <c r="L163" s="1051"/>
      <c r="M163" s="1051"/>
      <c r="N163" s="1051">
        <v>310000</v>
      </c>
      <c r="O163" s="1051">
        <v>310000</v>
      </c>
      <c r="P163" s="1051">
        <v>310000</v>
      </c>
      <c r="Q163" s="1037">
        <f t="shared" si="64"/>
        <v>310000</v>
      </c>
      <c r="R163" s="1482">
        <f t="shared" si="59"/>
        <v>310000</v>
      </c>
      <c r="S163" s="1455">
        <f t="shared" si="57"/>
        <v>0</v>
      </c>
      <c r="T163" s="1450">
        <f t="shared" si="58"/>
        <v>0</v>
      </c>
      <c r="U163" s="1450"/>
      <c r="V163" s="1450"/>
      <c r="W163" s="1449"/>
      <c r="X163" s="1449"/>
      <c r="Y163" s="1449"/>
      <c r="Z163" s="1449"/>
      <c r="AA163" s="1449"/>
      <c r="AB163" s="1449"/>
      <c r="AC163" s="1449"/>
      <c r="AD163" s="1449"/>
      <c r="AE163" s="1449"/>
      <c r="AF163" s="1449"/>
      <c r="AG163" s="1449"/>
      <c r="AH163" s="1449"/>
      <c r="AI163" s="1449"/>
      <c r="AJ163" s="1449"/>
      <c r="AK163" s="1449"/>
      <c r="AL163" s="1449"/>
      <c r="AM163" s="1449"/>
      <c r="AN163" s="1449"/>
      <c r="AO163" s="1449"/>
      <c r="AP163" s="1449"/>
      <c r="AQ163" s="1449"/>
      <c r="AR163" s="1449"/>
      <c r="AS163" s="1449"/>
      <c r="AT163" s="1449"/>
      <c r="AU163" s="1449"/>
    </row>
    <row r="164" spans="1:47" ht="31.5">
      <c r="A164" s="1015" t="s">
        <v>548</v>
      </c>
      <c r="B164" s="1015" t="s">
        <v>8</v>
      </c>
      <c r="C164" s="1015" t="s">
        <v>9</v>
      </c>
      <c r="D164" s="1022" t="s">
        <v>403</v>
      </c>
      <c r="E164" s="1050">
        <f t="shared" si="62"/>
        <v>9000</v>
      </c>
      <c r="F164" s="1050">
        <v>9000</v>
      </c>
      <c r="G164" s="1050"/>
      <c r="H164" s="1050"/>
      <c r="I164" s="1050"/>
      <c r="J164" s="1050">
        <f t="shared" si="63"/>
        <v>250195</v>
      </c>
      <c r="K164" s="1292"/>
      <c r="L164" s="1292"/>
      <c r="M164" s="1292"/>
      <c r="N164" s="1050">
        <v>250195</v>
      </c>
      <c r="O164" s="1050">
        <v>250195</v>
      </c>
      <c r="P164" s="1050">
        <v>250195</v>
      </c>
      <c r="Q164" s="1013">
        <f t="shared" si="64"/>
        <v>259195</v>
      </c>
      <c r="R164" s="1482">
        <f t="shared" si="59"/>
        <v>259195</v>
      </c>
      <c r="S164" s="1455">
        <f t="shared" si="57"/>
        <v>0</v>
      </c>
      <c r="T164" s="1450">
        <f t="shared" si="58"/>
        <v>0</v>
      </c>
      <c r="U164" s="1450"/>
      <c r="V164" s="1450">
        <f t="shared" si="47"/>
        <v>0</v>
      </c>
      <c r="W164" s="1449"/>
      <c r="X164" s="1449"/>
      <c r="Y164" s="1449"/>
      <c r="Z164" s="1449"/>
      <c r="AA164" s="1449"/>
      <c r="AB164" s="1449"/>
      <c r="AC164" s="1449"/>
      <c r="AD164" s="1449"/>
      <c r="AE164" s="1449"/>
      <c r="AF164" s="1449"/>
      <c r="AG164" s="1449"/>
      <c r="AH164" s="1449"/>
      <c r="AI164" s="1449"/>
      <c r="AJ164" s="1449"/>
      <c r="AK164" s="1449"/>
      <c r="AL164" s="1449"/>
      <c r="AM164" s="1449"/>
      <c r="AN164" s="1449"/>
      <c r="AO164" s="1449"/>
      <c r="AP164" s="1449"/>
      <c r="AQ164" s="1449"/>
      <c r="AR164" s="1449"/>
      <c r="AS164" s="1449"/>
      <c r="AT164" s="1449"/>
      <c r="AU164" s="1449"/>
    </row>
    <row r="165" spans="1:47" ht="31.5">
      <c r="A165" s="1015" t="s">
        <v>549</v>
      </c>
      <c r="B165" s="1015" t="s">
        <v>70</v>
      </c>
      <c r="C165" s="1015" t="s">
        <v>123</v>
      </c>
      <c r="D165" s="1022" t="s">
        <v>71</v>
      </c>
      <c r="E165" s="1051">
        <f t="shared" si="62"/>
        <v>0</v>
      </c>
      <c r="F165" s="1051"/>
      <c r="G165" s="1051"/>
      <c r="H165" s="1051"/>
      <c r="I165" s="1051"/>
      <c r="J165" s="1051">
        <f t="shared" si="63"/>
        <v>1946675</v>
      </c>
      <c r="K165" s="1051"/>
      <c r="L165" s="1051"/>
      <c r="M165" s="1051"/>
      <c r="N165" s="1051">
        <f>1893300+53375</f>
        <v>1946675</v>
      </c>
      <c r="O165" s="1051">
        <f>1893300+53375</f>
        <v>1946675</v>
      </c>
      <c r="P165" s="1051">
        <f>1893300+53375</f>
        <v>1946675</v>
      </c>
      <c r="Q165" s="1037">
        <f t="shared" si="64"/>
        <v>1946675</v>
      </c>
      <c r="R165" s="1482">
        <f t="shared" si="59"/>
        <v>1946675</v>
      </c>
      <c r="S165" s="1455">
        <f t="shared" si="57"/>
        <v>0</v>
      </c>
      <c r="T165" s="1450">
        <f t="shared" si="58"/>
        <v>0</v>
      </c>
      <c r="U165" s="1450"/>
      <c r="V165" s="1450">
        <f t="shared" si="47"/>
        <v>0</v>
      </c>
      <c r="W165" s="1449"/>
      <c r="X165" s="1449"/>
      <c r="Y165" s="1449"/>
      <c r="Z165" s="1449"/>
      <c r="AA165" s="1449"/>
      <c r="AB165" s="1449"/>
      <c r="AC165" s="1449"/>
      <c r="AD165" s="1449"/>
      <c r="AE165" s="1449"/>
      <c r="AF165" s="1449"/>
      <c r="AG165" s="1449"/>
      <c r="AH165" s="1449"/>
      <c r="AI165" s="1449"/>
      <c r="AJ165" s="1449"/>
      <c r="AK165" s="1449"/>
      <c r="AL165" s="1449"/>
      <c r="AM165" s="1449"/>
      <c r="AN165" s="1449"/>
      <c r="AO165" s="1449"/>
      <c r="AP165" s="1449"/>
      <c r="AQ165" s="1449"/>
      <c r="AR165" s="1449"/>
      <c r="AS165" s="1449"/>
      <c r="AT165" s="1449"/>
      <c r="AU165" s="1449"/>
    </row>
    <row r="166" spans="1:47" ht="31.5">
      <c r="A166" s="1015" t="s">
        <v>556</v>
      </c>
      <c r="B166" s="1015" t="s">
        <v>447</v>
      </c>
      <c r="C166" s="1015" t="s">
        <v>73</v>
      </c>
      <c r="D166" s="1022" t="s">
        <v>122</v>
      </c>
      <c r="E166" s="1051">
        <f t="shared" si="62"/>
        <v>9000</v>
      </c>
      <c r="F166" s="1051">
        <v>9000</v>
      </c>
      <c r="G166" s="1051"/>
      <c r="H166" s="1051"/>
      <c r="I166" s="1051"/>
      <c r="J166" s="1051">
        <f t="shared" si="63"/>
        <v>1338408</v>
      </c>
      <c r="K166" s="1051"/>
      <c r="L166" s="1051"/>
      <c r="M166" s="1051"/>
      <c r="N166" s="1051">
        <f>500000+847408-9000</f>
        <v>1338408</v>
      </c>
      <c r="O166" s="1051">
        <f>500000+847408-9000</f>
        <v>1338408</v>
      </c>
      <c r="P166" s="1051">
        <f>500000+847408-9000</f>
        <v>1338408</v>
      </c>
      <c r="Q166" s="1037">
        <f t="shared" si="64"/>
        <v>1347408</v>
      </c>
      <c r="R166" s="1482">
        <f t="shared" si="59"/>
        <v>1347408</v>
      </c>
      <c r="S166" s="1455">
        <f t="shared" si="57"/>
        <v>0</v>
      </c>
      <c r="T166" s="1450">
        <f t="shared" si="58"/>
        <v>0</v>
      </c>
      <c r="U166" s="1450"/>
      <c r="V166" s="1450">
        <f t="shared" si="47"/>
        <v>0</v>
      </c>
      <c r="W166" s="1449"/>
      <c r="X166" s="1449"/>
      <c r="Y166" s="1449"/>
      <c r="Z166" s="1449"/>
      <c r="AA166" s="1449"/>
      <c r="AB166" s="1449"/>
      <c r="AC166" s="1449"/>
      <c r="AD166" s="1449"/>
      <c r="AE166" s="1449"/>
      <c r="AF166" s="1449"/>
      <c r="AG166" s="1449"/>
      <c r="AH166" s="1449"/>
      <c r="AI166" s="1449"/>
      <c r="AJ166" s="1449"/>
      <c r="AK166" s="1449"/>
      <c r="AL166" s="1449"/>
      <c r="AM166" s="1449"/>
      <c r="AN166" s="1449"/>
      <c r="AO166" s="1449"/>
      <c r="AP166" s="1449"/>
      <c r="AQ166" s="1449"/>
      <c r="AR166" s="1449"/>
      <c r="AS166" s="1449"/>
      <c r="AT166" s="1449"/>
      <c r="AU166" s="1449"/>
    </row>
    <row r="167" spans="1:47" s="87" customFormat="1" ht="46.9" hidden="1" customHeight="1">
      <c r="A167" s="42" t="s">
        <v>550</v>
      </c>
      <c r="B167" s="42" t="s">
        <v>72</v>
      </c>
      <c r="C167" s="42" t="s">
        <v>124</v>
      </c>
      <c r="D167" s="41" t="s">
        <v>559</v>
      </c>
      <c r="E167" s="318">
        <f t="shared" si="62"/>
        <v>0</v>
      </c>
      <c r="F167" s="318"/>
      <c r="G167" s="318"/>
      <c r="H167" s="318"/>
      <c r="I167" s="318"/>
      <c r="J167" s="318"/>
      <c r="K167" s="318"/>
      <c r="L167" s="911"/>
      <c r="M167" s="911"/>
      <c r="N167" s="912"/>
      <c r="O167" s="912"/>
      <c r="P167" s="912"/>
      <c r="Q167" s="318"/>
      <c r="R167" s="1481">
        <f t="shared" si="59"/>
        <v>0</v>
      </c>
      <c r="S167" s="284">
        <f t="shared" si="57"/>
        <v>0</v>
      </c>
      <c r="T167" s="1006">
        <f t="shared" si="58"/>
        <v>0</v>
      </c>
      <c r="U167" s="536"/>
      <c r="V167" s="536">
        <f t="shared" si="47"/>
        <v>0</v>
      </c>
    </row>
    <row r="168" spans="1:47" s="455" customFormat="1" ht="31.15" customHeight="1">
      <c r="A168" s="42" t="s">
        <v>557</v>
      </c>
      <c r="B168" s="42" t="s">
        <v>476</v>
      </c>
      <c r="C168" s="42" t="s">
        <v>126</v>
      </c>
      <c r="D168" s="41" t="s">
        <v>477</v>
      </c>
      <c r="E168" s="912">
        <f t="shared" si="62"/>
        <v>0</v>
      </c>
      <c r="F168" s="912"/>
      <c r="G168" s="912"/>
      <c r="H168" s="912"/>
      <c r="I168" s="912"/>
      <c r="J168" s="912">
        <f t="shared" si="63"/>
        <v>306147</v>
      </c>
      <c r="K168" s="912"/>
      <c r="L168" s="912"/>
      <c r="M168" s="912"/>
      <c r="N168" s="912">
        <v>306147</v>
      </c>
      <c r="O168" s="912">
        <v>306147</v>
      </c>
      <c r="P168" s="912">
        <v>306147</v>
      </c>
      <c r="Q168" s="318">
        <f t="shared" si="64"/>
        <v>306147</v>
      </c>
      <c r="R168" s="1482">
        <f t="shared" si="59"/>
        <v>306147</v>
      </c>
      <c r="S168" s="1455">
        <f t="shared" si="57"/>
        <v>0</v>
      </c>
      <c r="T168" s="1450">
        <f t="shared" si="58"/>
        <v>0</v>
      </c>
      <c r="U168" s="1450"/>
      <c r="V168" s="1450">
        <f t="shared" si="47"/>
        <v>0</v>
      </c>
      <c r="W168" s="1449"/>
      <c r="X168" s="1449"/>
      <c r="Y168" s="1449"/>
      <c r="Z168" s="1449"/>
      <c r="AA168" s="1449"/>
      <c r="AB168" s="1449"/>
      <c r="AC168" s="1449"/>
      <c r="AD168" s="1449"/>
      <c r="AE168" s="1449"/>
      <c r="AF168" s="1449"/>
      <c r="AG168" s="1449"/>
      <c r="AH168" s="1449"/>
      <c r="AI168" s="1449"/>
      <c r="AJ168" s="1449"/>
      <c r="AK168" s="1449"/>
      <c r="AL168" s="1449"/>
      <c r="AM168" s="1449"/>
      <c r="AN168" s="1449"/>
      <c r="AO168" s="1449"/>
      <c r="AP168" s="1449"/>
      <c r="AQ168" s="1449"/>
      <c r="AR168" s="1449"/>
      <c r="AS168" s="1449"/>
      <c r="AT168" s="1449"/>
      <c r="AU168" s="1449"/>
    </row>
    <row r="169" spans="1:47" s="455" customFormat="1" ht="46.9" hidden="1" customHeight="1">
      <c r="A169" s="42" t="s">
        <v>846</v>
      </c>
      <c r="B169" s="42" t="s">
        <v>74</v>
      </c>
      <c r="C169" s="42" t="s">
        <v>128</v>
      </c>
      <c r="D169" s="41" t="s">
        <v>129</v>
      </c>
      <c r="E169" s="318">
        <f t="shared" si="62"/>
        <v>0</v>
      </c>
      <c r="F169" s="318"/>
      <c r="G169" s="318"/>
      <c r="H169" s="318"/>
      <c r="I169" s="318"/>
      <c r="J169" s="318">
        <f t="shared" si="63"/>
        <v>0</v>
      </c>
      <c r="K169" s="318"/>
      <c r="L169" s="318"/>
      <c r="M169" s="318"/>
      <c r="N169" s="912"/>
      <c r="O169" s="912"/>
      <c r="P169" s="912"/>
      <c r="Q169" s="318">
        <f t="shared" si="64"/>
        <v>0</v>
      </c>
      <c r="R169" s="1481">
        <f t="shared" si="59"/>
        <v>0</v>
      </c>
      <c r="S169" s="284"/>
      <c r="T169" s="1006">
        <f t="shared" si="58"/>
        <v>0</v>
      </c>
      <c r="U169" s="536"/>
      <c r="V169" s="536">
        <f t="shared" si="47"/>
        <v>0</v>
      </c>
    </row>
    <row r="170" spans="1:47" s="455" customFormat="1" ht="31.15" customHeight="1">
      <c r="A170" s="42" t="s">
        <v>940</v>
      </c>
      <c r="B170" s="42" t="s">
        <v>449</v>
      </c>
      <c r="C170" s="42" t="s">
        <v>133</v>
      </c>
      <c r="D170" s="41" t="s">
        <v>780</v>
      </c>
      <c r="E170" s="912"/>
      <c r="F170" s="912"/>
      <c r="G170" s="912"/>
      <c r="H170" s="912"/>
      <c r="I170" s="912"/>
      <c r="J170" s="912">
        <f t="shared" si="63"/>
        <v>13108573</v>
      </c>
      <c r="K170" s="912"/>
      <c r="L170" s="912"/>
      <c r="M170" s="912"/>
      <c r="N170" s="912">
        <v>13108573</v>
      </c>
      <c r="O170" s="912">
        <v>13108573</v>
      </c>
      <c r="P170" s="912">
        <v>13108573</v>
      </c>
      <c r="Q170" s="318">
        <f>+J170+E170</f>
        <v>13108573</v>
      </c>
      <c r="R170" s="1482">
        <f t="shared" si="59"/>
        <v>13108573</v>
      </c>
      <c r="S170" s="1455"/>
      <c r="T170" s="1450">
        <f t="shared" si="58"/>
        <v>0</v>
      </c>
      <c r="U170" s="1450"/>
      <c r="V170" s="1450">
        <f t="shared" si="47"/>
        <v>0</v>
      </c>
      <c r="W170" s="1449"/>
      <c r="X170" s="1449"/>
      <c r="Y170" s="1449"/>
      <c r="Z170" s="1449"/>
      <c r="AA170" s="1449"/>
      <c r="AB170" s="1449"/>
      <c r="AC170" s="1449"/>
      <c r="AD170" s="1449"/>
      <c r="AE170" s="1449"/>
      <c r="AF170" s="1449"/>
      <c r="AG170" s="1449"/>
      <c r="AH170" s="1449"/>
      <c r="AI170" s="1449"/>
      <c r="AJ170" s="1449"/>
      <c r="AK170" s="1449"/>
      <c r="AL170" s="1449"/>
      <c r="AM170" s="1449"/>
      <c r="AN170" s="1449"/>
      <c r="AO170" s="1449"/>
      <c r="AP170" s="1449"/>
      <c r="AQ170" s="1449"/>
      <c r="AR170" s="1449"/>
      <c r="AS170" s="1449"/>
      <c r="AT170" s="1449"/>
      <c r="AU170" s="1449"/>
    </row>
    <row r="171" spans="1:47" s="455" customFormat="1" ht="31.15" customHeight="1">
      <c r="A171" s="42" t="s">
        <v>558</v>
      </c>
      <c r="B171" s="42" t="s">
        <v>130</v>
      </c>
      <c r="C171" s="42" t="s">
        <v>136</v>
      </c>
      <c r="D171" s="41" t="s">
        <v>450</v>
      </c>
      <c r="E171" s="912">
        <f t="shared" si="62"/>
        <v>0</v>
      </c>
      <c r="F171" s="912"/>
      <c r="G171" s="912"/>
      <c r="H171" s="912"/>
      <c r="I171" s="912"/>
      <c r="J171" s="912">
        <f t="shared" si="63"/>
        <v>2500</v>
      </c>
      <c r="K171" s="912"/>
      <c r="L171" s="912"/>
      <c r="M171" s="912"/>
      <c r="N171" s="912">
        <v>2500</v>
      </c>
      <c r="O171" s="912">
        <v>2500</v>
      </c>
      <c r="P171" s="912">
        <v>2500</v>
      </c>
      <c r="Q171" s="318">
        <f t="shared" si="64"/>
        <v>2500</v>
      </c>
      <c r="R171" s="1482">
        <f t="shared" si="59"/>
        <v>2500</v>
      </c>
      <c r="S171" s="1455"/>
      <c r="T171" s="1450">
        <f t="shared" si="58"/>
        <v>0</v>
      </c>
      <c r="U171" s="1450"/>
      <c r="V171" s="1450">
        <f t="shared" si="47"/>
        <v>0</v>
      </c>
      <c r="W171" s="1449"/>
      <c r="X171" s="1449"/>
      <c r="Y171" s="1449"/>
      <c r="Z171" s="1449"/>
      <c r="AA171" s="1449"/>
      <c r="AB171" s="1449"/>
      <c r="AC171" s="1449"/>
      <c r="AD171" s="1449"/>
      <c r="AE171" s="1449"/>
      <c r="AF171" s="1449"/>
      <c r="AG171" s="1449"/>
      <c r="AH171" s="1449"/>
      <c r="AI171" s="1449"/>
      <c r="AJ171" s="1449"/>
      <c r="AK171" s="1449"/>
      <c r="AL171" s="1449"/>
      <c r="AM171" s="1449"/>
      <c r="AN171" s="1449"/>
      <c r="AO171" s="1449"/>
      <c r="AP171" s="1449"/>
      <c r="AQ171" s="1449"/>
      <c r="AR171" s="1449"/>
      <c r="AS171" s="1449"/>
      <c r="AT171" s="1449"/>
      <c r="AU171" s="1449"/>
    </row>
    <row r="172" spans="1:47" s="1041" customFormat="1" ht="63">
      <c r="A172" s="1017" t="s">
        <v>551</v>
      </c>
      <c r="B172" s="1017" t="s">
        <v>164</v>
      </c>
      <c r="C172" s="1017" t="s">
        <v>165</v>
      </c>
      <c r="D172" s="1018" t="s">
        <v>166</v>
      </c>
      <c r="E172" s="1052">
        <f t="shared" ref="E172:E181" si="65">F172+I172</f>
        <v>0</v>
      </c>
      <c r="F172" s="1052"/>
      <c r="G172" s="1052"/>
      <c r="H172" s="1052"/>
      <c r="I172" s="1052"/>
      <c r="J172" s="1052">
        <f t="shared" ref="J172:J183" si="66">+K172+N172</f>
        <v>1146424</v>
      </c>
      <c r="K172" s="1293"/>
      <c r="L172" s="1293"/>
      <c r="M172" s="1293"/>
      <c r="N172" s="1052">
        <v>1146424</v>
      </c>
      <c r="O172" s="1052">
        <v>1146424</v>
      </c>
      <c r="P172" s="1052">
        <v>1146424</v>
      </c>
      <c r="Q172" s="1020">
        <f t="shared" ref="Q172:Q183" si="67">+J172+E172</f>
        <v>1146424</v>
      </c>
      <c r="R172" s="1482">
        <f t="shared" si="59"/>
        <v>1146424</v>
      </c>
      <c r="S172" s="1455">
        <f t="shared" si="57"/>
        <v>0</v>
      </c>
      <c r="T172" s="1450">
        <f t="shared" si="58"/>
        <v>0</v>
      </c>
      <c r="U172" s="1450"/>
      <c r="V172" s="1450">
        <f t="shared" si="47"/>
        <v>0</v>
      </c>
      <c r="W172" s="1456"/>
      <c r="X172" s="1456"/>
      <c r="Y172" s="1456"/>
      <c r="Z172" s="1456"/>
      <c r="AA172" s="1456"/>
      <c r="AB172" s="1456"/>
      <c r="AC172" s="1456"/>
      <c r="AD172" s="1456"/>
      <c r="AE172" s="1456"/>
      <c r="AF172" s="1456"/>
      <c r="AG172" s="1456"/>
      <c r="AH172" s="1456"/>
      <c r="AI172" s="1456"/>
      <c r="AJ172" s="1456"/>
      <c r="AK172" s="1456"/>
      <c r="AL172" s="1456"/>
      <c r="AM172" s="1456"/>
      <c r="AN172" s="1456"/>
      <c r="AO172" s="1456"/>
      <c r="AP172" s="1456"/>
      <c r="AQ172" s="1456"/>
      <c r="AR172" s="1456"/>
      <c r="AS172" s="1456"/>
      <c r="AT172" s="1456"/>
      <c r="AU172" s="1456"/>
    </row>
    <row r="173" spans="1:47" s="1041" customFormat="1" ht="126" customHeight="1">
      <c r="A173" s="1017" t="s">
        <v>552</v>
      </c>
      <c r="B173" s="1017" t="s">
        <v>167</v>
      </c>
      <c r="C173" s="1017" t="s">
        <v>168</v>
      </c>
      <c r="D173" s="1018" t="s">
        <v>98</v>
      </c>
      <c r="E173" s="1052">
        <f t="shared" si="65"/>
        <v>0</v>
      </c>
      <c r="F173" s="1052"/>
      <c r="G173" s="1052"/>
      <c r="H173" s="1052"/>
      <c r="I173" s="1052"/>
      <c r="J173" s="1052">
        <f t="shared" si="66"/>
        <v>1466800</v>
      </c>
      <c r="K173" s="1293"/>
      <c r="L173" s="1293"/>
      <c r="M173" s="1293"/>
      <c r="N173" s="1052">
        <v>1466800</v>
      </c>
      <c r="O173" s="1052">
        <v>1466800</v>
      </c>
      <c r="P173" s="1052">
        <v>1466800</v>
      </c>
      <c r="Q173" s="1020">
        <f t="shared" si="67"/>
        <v>1466800</v>
      </c>
      <c r="R173" s="1482">
        <f t="shared" si="59"/>
        <v>1466800</v>
      </c>
      <c r="S173" s="1455">
        <f t="shared" si="57"/>
        <v>0</v>
      </c>
      <c r="T173" s="1450">
        <f t="shared" si="58"/>
        <v>0</v>
      </c>
      <c r="U173" s="1450"/>
      <c r="V173" s="1450">
        <f t="shared" si="47"/>
        <v>0</v>
      </c>
      <c r="W173" s="1456"/>
      <c r="X173" s="1456"/>
      <c r="Y173" s="1456"/>
      <c r="Z173" s="1456"/>
      <c r="AA173" s="1456"/>
      <c r="AB173" s="1456"/>
      <c r="AC173" s="1456"/>
      <c r="AD173" s="1456"/>
      <c r="AE173" s="1456"/>
      <c r="AF173" s="1456"/>
      <c r="AG173" s="1456"/>
      <c r="AH173" s="1456"/>
      <c r="AI173" s="1456"/>
      <c r="AJ173" s="1456"/>
      <c r="AK173" s="1456"/>
      <c r="AL173" s="1456"/>
      <c r="AM173" s="1456"/>
      <c r="AN173" s="1456"/>
      <c r="AO173" s="1456"/>
      <c r="AP173" s="1456"/>
      <c r="AQ173" s="1456"/>
      <c r="AR173" s="1456"/>
      <c r="AS173" s="1456"/>
      <c r="AT173" s="1456"/>
      <c r="AU173" s="1456"/>
    </row>
    <row r="174" spans="1:47" s="294" customFormat="1" ht="31.15" customHeight="1">
      <c r="A174" s="293" t="s">
        <v>553</v>
      </c>
      <c r="B174" s="293" t="s">
        <v>169</v>
      </c>
      <c r="C174" s="293" t="s">
        <v>165</v>
      </c>
      <c r="D174" s="45" t="s">
        <v>783</v>
      </c>
      <c r="E174" s="913">
        <f t="shared" si="65"/>
        <v>0</v>
      </c>
      <c r="F174" s="913"/>
      <c r="G174" s="913"/>
      <c r="H174" s="913"/>
      <c r="I174" s="913"/>
      <c r="J174" s="913">
        <f t="shared" si="66"/>
        <v>600000</v>
      </c>
      <c r="K174" s="1294"/>
      <c r="L174" s="1294"/>
      <c r="M174" s="1294"/>
      <c r="N174" s="913">
        <v>600000</v>
      </c>
      <c r="O174" s="913">
        <v>600000</v>
      </c>
      <c r="P174" s="913">
        <v>600000</v>
      </c>
      <c r="Q174" s="319">
        <f t="shared" si="67"/>
        <v>600000</v>
      </c>
      <c r="R174" s="1482">
        <f t="shared" si="59"/>
        <v>600000</v>
      </c>
      <c r="S174" s="1455">
        <f t="shared" si="57"/>
        <v>0</v>
      </c>
      <c r="T174" s="1450">
        <f t="shared" si="58"/>
        <v>0</v>
      </c>
      <c r="U174" s="1450"/>
      <c r="V174" s="1450">
        <f t="shared" si="47"/>
        <v>0</v>
      </c>
      <c r="W174" s="1456"/>
      <c r="X174" s="1456"/>
      <c r="Y174" s="1456"/>
      <c r="Z174" s="1456"/>
      <c r="AA174" s="1456"/>
      <c r="AB174" s="1456"/>
      <c r="AC174" s="1456"/>
      <c r="AD174" s="1456"/>
      <c r="AE174" s="1456"/>
      <c r="AF174" s="1456"/>
      <c r="AG174" s="1456"/>
      <c r="AH174" s="1456"/>
      <c r="AI174" s="1456"/>
      <c r="AJ174" s="1456"/>
      <c r="AK174" s="1456"/>
      <c r="AL174" s="1456"/>
      <c r="AM174" s="1456"/>
      <c r="AN174" s="1456"/>
      <c r="AO174" s="1456"/>
      <c r="AP174" s="1456"/>
      <c r="AQ174" s="1456"/>
      <c r="AR174" s="1456"/>
      <c r="AS174" s="1456"/>
      <c r="AT174" s="1456"/>
      <c r="AU174" s="1456"/>
    </row>
    <row r="175" spans="1:47" s="294" customFormat="1" ht="55.15" customHeight="1">
      <c r="A175" s="293" t="s">
        <v>1288</v>
      </c>
      <c r="B175" s="293" t="s">
        <v>170</v>
      </c>
      <c r="C175" s="296" t="s">
        <v>165</v>
      </c>
      <c r="D175" s="45" t="s">
        <v>486</v>
      </c>
      <c r="E175" s="913"/>
      <c r="F175" s="913"/>
      <c r="G175" s="913"/>
      <c r="H175" s="913"/>
      <c r="I175" s="913"/>
      <c r="J175" s="913">
        <f t="shared" si="66"/>
        <v>892800</v>
      </c>
      <c r="K175" s="1294"/>
      <c r="L175" s="1294"/>
      <c r="M175" s="1294"/>
      <c r="N175" s="913">
        <v>892800</v>
      </c>
      <c r="O175" s="913">
        <v>892800</v>
      </c>
      <c r="P175" s="913">
        <v>892800</v>
      </c>
      <c r="Q175" s="319">
        <f>+J175+E175</f>
        <v>892800</v>
      </c>
      <c r="R175" s="1482">
        <f t="shared" si="59"/>
        <v>892800</v>
      </c>
      <c r="S175" s="1455"/>
      <c r="T175" s="1450">
        <f t="shared" si="58"/>
        <v>0</v>
      </c>
      <c r="U175" s="1450"/>
      <c r="V175" s="1450"/>
      <c r="W175" s="1456"/>
      <c r="X175" s="1456"/>
      <c r="Y175" s="1456"/>
      <c r="Z175" s="1456"/>
      <c r="AA175" s="1456"/>
      <c r="AB175" s="1456"/>
      <c r="AC175" s="1456"/>
      <c r="AD175" s="1456"/>
      <c r="AE175" s="1456"/>
      <c r="AF175" s="1456"/>
      <c r="AG175" s="1456"/>
      <c r="AH175" s="1456"/>
      <c r="AI175" s="1456"/>
      <c r="AJ175" s="1456"/>
      <c r="AK175" s="1456"/>
      <c r="AL175" s="1456"/>
      <c r="AM175" s="1456"/>
      <c r="AN175" s="1456"/>
      <c r="AO175" s="1456"/>
      <c r="AP175" s="1456"/>
      <c r="AQ175" s="1456"/>
      <c r="AR175" s="1456"/>
      <c r="AS175" s="1456"/>
      <c r="AT175" s="1456"/>
      <c r="AU175" s="1456"/>
    </row>
    <row r="176" spans="1:47" s="455" customFormat="1" ht="62.45" hidden="1" customHeight="1">
      <c r="A176" s="293" t="s">
        <v>554</v>
      </c>
      <c r="B176" s="293" t="s">
        <v>334</v>
      </c>
      <c r="C176" s="296" t="s">
        <v>11</v>
      </c>
      <c r="D176" s="297" t="s">
        <v>77</v>
      </c>
      <c r="E176" s="316">
        <f t="shared" si="65"/>
        <v>0</v>
      </c>
      <c r="F176" s="316"/>
      <c r="G176" s="316"/>
      <c r="H176" s="316"/>
      <c r="I176" s="316"/>
      <c r="J176" s="316">
        <f t="shared" si="66"/>
        <v>0</v>
      </c>
      <c r="K176" s="323"/>
      <c r="L176" s="323"/>
      <c r="M176" s="323"/>
      <c r="N176" s="909"/>
      <c r="O176" s="909"/>
      <c r="P176" s="909"/>
      <c r="Q176" s="316">
        <f t="shared" si="67"/>
        <v>0</v>
      </c>
      <c r="R176" s="1481">
        <f t="shared" si="59"/>
        <v>0</v>
      </c>
      <c r="S176" s="284">
        <f t="shared" si="57"/>
        <v>0</v>
      </c>
      <c r="T176" s="1006">
        <f t="shared" si="58"/>
        <v>0</v>
      </c>
      <c r="U176" s="536"/>
      <c r="V176" s="536">
        <f t="shared" si="47"/>
        <v>0</v>
      </c>
    </row>
    <row r="177" spans="1:47" ht="15.75">
      <c r="A177" s="1015" t="s">
        <v>560</v>
      </c>
      <c r="B177" s="1015" t="s">
        <v>274</v>
      </c>
      <c r="C177" s="1015" t="s">
        <v>159</v>
      </c>
      <c r="D177" s="1022" t="s">
        <v>463</v>
      </c>
      <c r="E177" s="1050">
        <f t="shared" si="65"/>
        <v>0</v>
      </c>
      <c r="F177" s="1050"/>
      <c r="G177" s="1050"/>
      <c r="H177" s="1050"/>
      <c r="I177" s="1050"/>
      <c r="J177" s="1050">
        <f t="shared" si="66"/>
        <v>1641755</v>
      </c>
      <c r="K177" s="1292"/>
      <c r="L177" s="1292"/>
      <c r="M177" s="1292"/>
      <c r="N177" s="1050">
        <f>1701755-60000</f>
        <v>1641755</v>
      </c>
      <c r="O177" s="1050">
        <f>1701755-60000</f>
        <v>1641755</v>
      </c>
      <c r="P177" s="1050">
        <f>1701755-60000</f>
        <v>1641755</v>
      </c>
      <c r="Q177" s="1013">
        <f t="shared" si="67"/>
        <v>1641755</v>
      </c>
      <c r="R177" s="1482">
        <f t="shared" si="59"/>
        <v>1641755</v>
      </c>
      <c r="S177" s="1455">
        <f t="shared" si="57"/>
        <v>0</v>
      </c>
      <c r="T177" s="1450">
        <f t="shared" si="58"/>
        <v>0</v>
      </c>
      <c r="U177" s="1450"/>
      <c r="V177" s="1450">
        <f t="shared" si="47"/>
        <v>0</v>
      </c>
      <c r="W177" s="1449"/>
      <c r="X177" s="1449"/>
      <c r="Y177" s="1449"/>
      <c r="Z177" s="1449"/>
      <c r="AA177" s="1449"/>
      <c r="AB177" s="1449"/>
      <c r="AC177" s="1449"/>
      <c r="AD177" s="1449"/>
      <c r="AE177" s="1449"/>
      <c r="AF177" s="1449"/>
      <c r="AG177" s="1449"/>
      <c r="AH177" s="1449"/>
      <c r="AI177" s="1449"/>
      <c r="AJ177" s="1449"/>
      <c r="AK177" s="1449"/>
      <c r="AL177" s="1449"/>
      <c r="AM177" s="1449"/>
      <c r="AN177" s="1449"/>
      <c r="AO177" s="1449"/>
      <c r="AP177" s="1449"/>
      <c r="AQ177" s="1449"/>
      <c r="AR177" s="1449"/>
      <c r="AS177" s="1449"/>
      <c r="AT177" s="1449"/>
      <c r="AU177" s="1449"/>
    </row>
    <row r="178" spans="1:47" s="455" customFormat="1" ht="31.15" customHeight="1">
      <c r="A178" s="42" t="s">
        <v>561</v>
      </c>
      <c r="B178" s="42" t="s">
        <v>517</v>
      </c>
      <c r="C178" s="42" t="s">
        <v>159</v>
      </c>
      <c r="D178" s="41" t="s">
        <v>518</v>
      </c>
      <c r="E178" s="909">
        <f t="shared" si="65"/>
        <v>0</v>
      </c>
      <c r="F178" s="909"/>
      <c r="G178" s="909"/>
      <c r="H178" s="909"/>
      <c r="I178" s="909"/>
      <c r="J178" s="909">
        <f t="shared" si="66"/>
        <v>17154</v>
      </c>
      <c r="K178" s="1295"/>
      <c r="L178" s="1295"/>
      <c r="M178" s="1295"/>
      <c r="N178" s="909">
        <v>17154</v>
      </c>
      <c r="O178" s="909">
        <v>17154</v>
      </c>
      <c r="P178" s="909">
        <v>17154</v>
      </c>
      <c r="Q178" s="316">
        <f t="shared" si="67"/>
        <v>17154</v>
      </c>
      <c r="R178" s="1482">
        <f t="shared" si="59"/>
        <v>17154</v>
      </c>
      <c r="S178" s="1455">
        <f t="shared" si="57"/>
        <v>0</v>
      </c>
      <c r="T178" s="1450">
        <f t="shared" si="58"/>
        <v>0</v>
      </c>
      <c r="U178" s="1450"/>
      <c r="V178" s="1450">
        <f t="shared" si="47"/>
        <v>0</v>
      </c>
      <c r="W178" s="1449"/>
      <c r="X178" s="1449"/>
      <c r="Y178" s="1449"/>
      <c r="Z178" s="1449"/>
      <c r="AA178" s="1449"/>
      <c r="AB178" s="1449"/>
      <c r="AC178" s="1449"/>
      <c r="AD178" s="1449"/>
      <c r="AE178" s="1449"/>
      <c r="AF178" s="1449"/>
      <c r="AG178" s="1449"/>
      <c r="AH178" s="1449"/>
      <c r="AI178" s="1449"/>
      <c r="AJ178" s="1449"/>
      <c r="AK178" s="1449"/>
      <c r="AL178" s="1449"/>
      <c r="AM178" s="1449"/>
      <c r="AN178" s="1449"/>
      <c r="AO178" s="1449"/>
      <c r="AP178" s="1449"/>
      <c r="AQ178" s="1449"/>
      <c r="AR178" s="1449"/>
      <c r="AS178" s="1449"/>
      <c r="AT178" s="1449"/>
      <c r="AU178" s="1449"/>
    </row>
    <row r="179" spans="1:47" s="455" customFormat="1" ht="46.9" hidden="1" customHeight="1">
      <c r="A179" s="42" t="s">
        <v>834</v>
      </c>
      <c r="B179" s="42" t="s">
        <v>642</v>
      </c>
      <c r="C179" s="42" t="s">
        <v>276</v>
      </c>
      <c r="D179" s="41" t="s">
        <v>835</v>
      </c>
      <c r="E179" s="316">
        <f t="shared" si="65"/>
        <v>0</v>
      </c>
      <c r="F179" s="316"/>
      <c r="G179" s="316"/>
      <c r="H179" s="316"/>
      <c r="I179" s="316"/>
      <c r="J179" s="316">
        <f t="shared" si="66"/>
        <v>0</v>
      </c>
      <c r="K179" s="323"/>
      <c r="L179" s="323"/>
      <c r="M179" s="323"/>
      <c r="N179" s="909"/>
      <c r="O179" s="909"/>
      <c r="P179" s="909"/>
      <c r="Q179" s="316">
        <f t="shared" si="67"/>
        <v>0</v>
      </c>
      <c r="R179" s="1005">
        <f t="shared" si="59"/>
        <v>0</v>
      </c>
      <c r="S179" s="284"/>
      <c r="T179" s="1006">
        <f t="shared" si="58"/>
        <v>0</v>
      </c>
      <c r="U179" s="536"/>
      <c r="V179" s="536">
        <f t="shared" si="47"/>
        <v>0</v>
      </c>
    </row>
    <row r="180" spans="1:47" s="455" customFormat="1" ht="31.15" hidden="1" customHeight="1">
      <c r="A180" s="42" t="s">
        <v>836</v>
      </c>
      <c r="B180" s="42" t="s">
        <v>734</v>
      </c>
      <c r="C180" s="42" t="s">
        <v>276</v>
      </c>
      <c r="D180" s="41" t="s">
        <v>837</v>
      </c>
      <c r="E180" s="316">
        <f t="shared" si="65"/>
        <v>0</v>
      </c>
      <c r="F180" s="316"/>
      <c r="G180" s="316"/>
      <c r="H180" s="316"/>
      <c r="I180" s="316"/>
      <c r="J180" s="316">
        <f t="shared" si="66"/>
        <v>0</v>
      </c>
      <c r="K180" s="323"/>
      <c r="L180" s="323"/>
      <c r="M180" s="323"/>
      <c r="N180" s="909"/>
      <c r="O180" s="909"/>
      <c r="P180" s="909"/>
      <c r="Q180" s="316">
        <f t="shared" si="67"/>
        <v>0</v>
      </c>
      <c r="R180" s="1481">
        <f t="shared" si="59"/>
        <v>0</v>
      </c>
      <c r="S180" s="284"/>
      <c r="T180" s="1006">
        <f t="shared" si="58"/>
        <v>0</v>
      </c>
      <c r="U180" s="536"/>
      <c r="V180" s="536">
        <f t="shared" si="47"/>
        <v>0</v>
      </c>
    </row>
    <row r="181" spans="1:47" s="1045" customFormat="1" ht="47.25">
      <c r="A181" s="1017" t="s">
        <v>555</v>
      </c>
      <c r="B181" s="1017" t="s">
        <v>350</v>
      </c>
      <c r="C181" s="1017" t="s">
        <v>293</v>
      </c>
      <c r="D181" s="1018" t="s">
        <v>47</v>
      </c>
      <c r="E181" s="1052">
        <f t="shared" si="65"/>
        <v>27000</v>
      </c>
      <c r="F181" s="1052">
        <v>27000</v>
      </c>
      <c r="G181" s="1052"/>
      <c r="H181" s="1052"/>
      <c r="I181" s="1052"/>
      <c r="J181" s="1052">
        <f t="shared" si="66"/>
        <v>3290000</v>
      </c>
      <c r="K181" s="1293"/>
      <c r="L181" s="1293"/>
      <c r="M181" s="1293"/>
      <c r="N181" s="1052">
        <v>3290000</v>
      </c>
      <c r="O181" s="1052">
        <v>3290000</v>
      </c>
      <c r="P181" s="1052">
        <v>3290000</v>
      </c>
      <c r="Q181" s="1020">
        <f t="shared" si="67"/>
        <v>3317000</v>
      </c>
      <c r="R181" s="1482">
        <f t="shared" si="59"/>
        <v>3317000</v>
      </c>
      <c r="S181" s="1455">
        <f t="shared" si="57"/>
        <v>0</v>
      </c>
      <c r="T181" s="1450">
        <f t="shared" si="58"/>
        <v>0</v>
      </c>
      <c r="U181" s="1450"/>
      <c r="V181" s="1450">
        <f t="shared" ref="V181:V237" si="68">O181-N181</f>
        <v>0</v>
      </c>
      <c r="W181" s="1462"/>
      <c r="X181" s="1462"/>
      <c r="Y181" s="1462"/>
      <c r="Z181" s="1462"/>
      <c r="AA181" s="1462"/>
      <c r="AB181" s="1462"/>
      <c r="AC181" s="1462"/>
      <c r="AD181" s="1462"/>
      <c r="AE181" s="1462"/>
      <c r="AF181" s="1462"/>
      <c r="AG181" s="1462"/>
      <c r="AH181" s="1462"/>
      <c r="AI181" s="1462"/>
      <c r="AJ181" s="1462"/>
      <c r="AK181" s="1462"/>
      <c r="AL181" s="1462"/>
      <c r="AM181" s="1462"/>
      <c r="AN181" s="1462"/>
      <c r="AO181" s="1462"/>
      <c r="AP181" s="1462"/>
      <c r="AQ181" s="1462"/>
      <c r="AR181" s="1462"/>
      <c r="AS181" s="1462"/>
      <c r="AT181" s="1462"/>
      <c r="AU181" s="1462"/>
    </row>
    <row r="182" spans="1:47" s="195" customFormat="1" ht="46.9" customHeight="1">
      <c r="A182" s="293" t="s">
        <v>844</v>
      </c>
      <c r="B182" s="293" t="s">
        <v>235</v>
      </c>
      <c r="C182" s="293" t="s">
        <v>293</v>
      </c>
      <c r="D182" s="45" t="s">
        <v>845</v>
      </c>
      <c r="E182" s="913"/>
      <c r="F182" s="913"/>
      <c r="G182" s="913"/>
      <c r="H182" s="913"/>
      <c r="I182" s="913"/>
      <c r="J182" s="913">
        <f t="shared" si="66"/>
        <v>4224672</v>
      </c>
      <c r="K182" s="1296"/>
      <c r="L182" s="1294"/>
      <c r="M182" s="1294"/>
      <c r="N182" s="913">
        <v>4224672</v>
      </c>
      <c r="O182" s="913">
        <v>4224672</v>
      </c>
      <c r="P182" s="913">
        <v>4224672</v>
      </c>
      <c r="Q182" s="319">
        <f t="shared" si="67"/>
        <v>4224672</v>
      </c>
      <c r="R182" s="1482">
        <f t="shared" si="59"/>
        <v>4224672</v>
      </c>
      <c r="S182" s="1455"/>
      <c r="T182" s="1450">
        <f t="shared" si="58"/>
        <v>0</v>
      </c>
      <c r="U182" s="1450"/>
      <c r="V182" s="1450">
        <f t="shared" si="68"/>
        <v>0</v>
      </c>
      <c r="W182" s="1462"/>
      <c r="X182" s="1462"/>
      <c r="Y182" s="1462"/>
      <c r="Z182" s="1462"/>
      <c r="AA182" s="1462"/>
      <c r="AB182" s="1462"/>
      <c r="AC182" s="1462"/>
      <c r="AD182" s="1462"/>
      <c r="AE182" s="1462"/>
      <c r="AF182" s="1462"/>
      <c r="AG182" s="1462"/>
      <c r="AH182" s="1462"/>
      <c r="AI182" s="1462"/>
      <c r="AJ182" s="1462"/>
      <c r="AK182" s="1462"/>
      <c r="AL182" s="1462"/>
      <c r="AM182" s="1462"/>
      <c r="AN182" s="1462"/>
      <c r="AO182" s="1462"/>
      <c r="AP182" s="1462"/>
      <c r="AQ182" s="1462"/>
      <c r="AR182" s="1462"/>
      <c r="AS182" s="1462"/>
      <c r="AT182" s="1462"/>
      <c r="AU182" s="1462"/>
    </row>
    <row r="183" spans="1:47" s="455" customFormat="1" ht="31.15" hidden="1" customHeight="1">
      <c r="A183" s="42" t="s">
        <v>743</v>
      </c>
      <c r="B183" s="42" t="s">
        <v>744</v>
      </c>
      <c r="C183" s="42" t="s">
        <v>521</v>
      </c>
      <c r="D183" s="456" t="s">
        <v>789</v>
      </c>
      <c r="E183" s="316">
        <f>F183+I183</f>
        <v>0</v>
      </c>
      <c r="F183" s="909"/>
      <c r="G183" s="316"/>
      <c r="H183" s="316"/>
      <c r="I183" s="316"/>
      <c r="J183" s="316">
        <f t="shared" si="66"/>
        <v>0</v>
      </c>
      <c r="K183" s="327"/>
      <c r="L183" s="316"/>
      <c r="M183" s="316"/>
      <c r="N183" s="909"/>
      <c r="O183" s="909"/>
      <c r="P183" s="909"/>
      <c r="Q183" s="910">
        <f t="shared" si="67"/>
        <v>0</v>
      </c>
      <c r="R183" s="1481">
        <f t="shared" si="59"/>
        <v>0</v>
      </c>
      <c r="S183" s="284">
        <f t="shared" si="57"/>
        <v>0</v>
      </c>
      <c r="T183" s="1006">
        <f t="shared" si="58"/>
        <v>0</v>
      </c>
      <c r="U183" s="536"/>
      <c r="V183" s="536">
        <f t="shared" si="68"/>
        <v>0</v>
      </c>
    </row>
    <row r="184" spans="1:47" s="195" customFormat="1" ht="37.9" customHeight="1">
      <c r="A184" s="293" t="s">
        <v>562</v>
      </c>
      <c r="B184" s="293" t="s">
        <v>563</v>
      </c>
      <c r="C184" s="293" t="s">
        <v>521</v>
      </c>
      <c r="D184" s="45" t="s">
        <v>564</v>
      </c>
      <c r="E184" s="913">
        <f t="shared" ref="E184:E195" si="69">F184+I184</f>
        <v>0</v>
      </c>
      <c r="F184" s="913"/>
      <c r="G184" s="913"/>
      <c r="H184" s="913"/>
      <c r="I184" s="913"/>
      <c r="J184" s="913">
        <f t="shared" ref="J184:J195" si="70">+K184+N184</f>
        <v>19397</v>
      </c>
      <c r="K184" s="1294"/>
      <c r="L184" s="1294"/>
      <c r="M184" s="1294"/>
      <c r="N184" s="913">
        <v>19397</v>
      </c>
      <c r="O184" s="913">
        <v>19397</v>
      </c>
      <c r="P184" s="913">
        <v>19397</v>
      </c>
      <c r="Q184" s="319">
        <f t="shared" ref="Q184:Q195" si="71">J184+E184</f>
        <v>19397</v>
      </c>
      <c r="R184" s="1482">
        <f t="shared" si="59"/>
        <v>19397</v>
      </c>
      <c r="S184" s="1455">
        <f t="shared" si="57"/>
        <v>0</v>
      </c>
      <c r="T184" s="1450">
        <f t="shared" si="58"/>
        <v>0</v>
      </c>
      <c r="U184" s="1450"/>
      <c r="V184" s="1450">
        <f t="shared" si="68"/>
        <v>0</v>
      </c>
      <c r="W184" s="1462"/>
      <c r="X184" s="1462"/>
      <c r="Y184" s="1462"/>
      <c r="Z184" s="1462"/>
      <c r="AA184" s="1462"/>
      <c r="AB184" s="1462"/>
      <c r="AC184" s="1462"/>
      <c r="AD184" s="1462"/>
      <c r="AE184" s="1462"/>
      <c r="AF184" s="1462"/>
      <c r="AG184" s="1462"/>
      <c r="AH184" s="1462"/>
      <c r="AI184" s="1462"/>
      <c r="AJ184" s="1462"/>
      <c r="AK184" s="1462"/>
      <c r="AL184" s="1462"/>
      <c r="AM184" s="1462"/>
      <c r="AN184" s="1462"/>
      <c r="AO184" s="1462"/>
      <c r="AP184" s="1462"/>
      <c r="AQ184" s="1462"/>
      <c r="AR184" s="1462"/>
      <c r="AS184" s="1462"/>
      <c r="AT184" s="1462"/>
      <c r="AU184" s="1462"/>
    </row>
    <row r="185" spans="1:47" s="195" customFormat="1" ht="34.5">
      <c r="A185" s="293" t="s">
        <v>565</v>
      </c>
      <c r="B185" s="293" t="s">
        <v>566</v>
      </c>
      <c r="C185" s="293" t="s">
        <v>521</v>
      </c>
      <c r="D185" s="45" t="s">
        <v>567</v>
      </c>
      <c r="E185" s="913">
        <f t="shared" si="69"/>
        <v>0</v>
      </c>
      <c r="F185" s="913"/>
      <c r="G185" s="913"/>
      <c r="H185" s="913"/>
      <c r="I185" s="913"/>
      <c r="J185" s="913">
        <f t="shared" si="70"/>
        <v>300000</v>
      </c>
      <c r="K185" s="1294"/>
      <c r="L185" s="1294"/>
      <c r="M185" s="1294"/>
      <c r="N185" s="913">
        <f>5000000-4700000</f>
        <v>300000</v>
      </c>
      <c r="O185" s="913">
        <f>5000000-4700000</f>
        <v>300000</v>
      </c>
      <c r="P185" s="913">
        <f>5000000-4700000</f>
        <v>300000</v>
      </c>
      <c r="Q185" s="319">
        <f t="shared" si="71"/>
        <v>300000</v>
      </c>
      <c r="R185" s="1482">
        <f t="shared" si="59"/>
        <v>300000</v>
      </c>
      <c r="S185" s="1462"/>
      <c r="T185" s="1450">
        <f t="shared" si="58"/>
        <v>0</v>
      </c>
      <c r="U185" s="1450"/>
      <c r="V185" s="1450">
        <f t="shared" si="68"/>
        <v>0</v>
      </c>
      <c r="W185" s="1462"/>
      <c r="X185" s="1462"/>
      <c r="Y185" s="1462"/>
      <c r="Z185" s="1462"/>
      <c r="AA185" s="1462"/>
      <c r="AB185" s="1462"/>
      <c r="AC185" s="1462"/>
      <c r="AD185" s="1462"/>
      <c r="AE185" s="1462"/>
      <c r="AF185" s="1462"/>
      <c r="AG185" s="1462"/>
      <c r="AH185" s="1462"/>
      <c r="AI185" s="1462"/>
      <c r="AJ185" s="1462"/>
      <c r="AK185" s="1462"/>
      <c r="AL185" s="1462"/>
      <c r="AM185" s="1462"/>
      <c r="AN185" s="1462"/>
      <c r="AO185" s="1462"/>
      <c r="AP185" s="1462"/>
      <c r="AQ185" s="1462"/>
      <c r="AR185" s="1462"/>
      <c r="AS185" s="1462"/>
      <c r="AT185" s="1462"/>
      <c r="AU185" s="1462"/>
    </row>
    <row r="186" spans="1:47" s="195" customFormat="1" ht="34.5">
      <c r="A186" s="293" t="s">
        <v>1284</v>
      </c>
      <c r="B186" s="293" t="s">
        <v>777</v>
      </c>
      <c r="C186" s="293" t="s">
        <v>521</v>
      </c>
      <c r="D186" s="45" t="s">
        <v>522</v>
      </c>
      <c r="E186" s="913"/>
      <c r="F186" s="913"/>
      <c r="G186" s="913"/>
      <c r="H186" s="913"/>
      <c r="I186" s="913"/>
      <c r="J186" s="913">
        <f t="shared" si="70"/>
        <v>950000</v>
      </c>
      <c r="K186" s="1294"/>
      <c r="L186" s="1294"/>
      <c r="M186" s="1294"/>
      <c r="N186" s="913">
        <v>950000</v>
      </c>
      <c r="O186" s="913">
        <v>950000</v>
      </c>
      <c r="P186" s="913">
        <v>950000</v>
      </c>
      <c r="Q186" s="319">
        <f>J186+E186</f>
        <v>950000</v>
      </c>
      <c r="R186" s="1482">
        <f t="shared" si="59"/>
        <v>950000</v>
      </c>
      <c r="S186" s="1462"/>
      <c r="T186" s="1450">
        <f t="shared" si="58"/>
        <v>0</v>
      </c>
      <c r="U186" s="1450"/>
      <c r="V186" s="1450"/>
      <c r="W186" s="1462"/>
      <c r="X186" s="1462"/>
      <c r="Y186" s="1462"/>
      <c r="Z186" s="1462"/>
      <c r="AA186" s="1462"/>
      <c r="AB186" s="1462"/>
      <c r="AC186" s="1462"/>
      <c r="AD186" s="1462"/>
      <c r="AE186" s="1462"/>
      <c r="AF186" s="1462"/>
      <c r="AG186" s="1462"/>
      <c r="AH186" s="1462"/>
      <c r="AI186" s="1462"/>
      <c r="AJ186" s="1462"/>
      <c r="AK186" s="1462"/>
      <c r="AL186" s="1462"/>
      <c r="AM186" s="1462"/>
      <c r="AN186" s="1462"/>
      <c r="AO186" s="1462"/>
      <c r="AP186" s="1462"/>
      <c r="AQ186" s="1462"/>
      <c r="AR186" s="1462"/>
      <c r="AS186" s="1462"/>
      <c r="AT186" s="1462"/>
      <c r="AU186" s="1462"/>
    </row>
    <row r="187" spans="1:47" s="1045" customFormat="1" ht="31.5">
      <c r="A187" s="1017" t="s">
        <v>746</v>
      </c>
      <c r="B187" s="1017" t="s">
        <v>747</v>
      </c>
      <c r="C187" s="1017" t="s">
        <v>521</v>
      </c>
      <c r="D187" s="1053" t="s">
        <v>790</v>
      </c>
      <c r="E187" s="1052">
        <f t="shared" si="69"/>
        <v>0</v>
      </c>
      <c r="F187" s="1052"/>
      <c r="G187" s="1052"/>
      <c r="H187" s="1052"/>
      <c r="I187" s="1052"/>
      <c r="J187" s="1052">
        <f t="shared" si="70"/>
        <v>2442700</v>
      </c>
      <c r="K187" s="1293"/>
      <c r="L187" s="1293"/>
      <c r="M187" s="1293"/>
      <c r="N187" s="1052">
        <v>2442700</v>
      </c>
      <c r="O187" s="1052">
        <v>2442700</v>
      </c>
      <c r="P187" s="1052">
        <v>2442700</v>
      </c>
      <c r="Q187" s="1020">
        <f t="shared" si="71"/>
        <v>2442700</v>
      </c>
      <c r="R187" s="1482">
        <f t="shared" si="59"/>
        <v>2442700</v>
      </c>
      <c r="S187" s="1455">
        <f t="shared" si="57"/>
        <v>0</v>
      </c>
      <c r="T187" s="1450">
        <f t="shared" si="58"/>
        <v>0</v>
      </c>
      <c r="U187" s="1450"/>
      <c r="V187" s="1450">
        <f t="shared" si="68"/>
        <v>0</v>
      </c>
      <c r="W187" s="1462"/>
      <c r="X187" s="1462"/>
      <c r="Y187" s="1462"/>
      <c r="Z187" s="1462"/>
      <c r="AA187" s="1462"/>
      <c r="AB187" s="1462"/>
      <c r="AC187" s="1462"/>
      <c r="AD187" s="1462"/>
      <c r="AE187" s="1462"/>
      <c r="AF187" s="1462"/>
      <c r="AG187" s="1462"/>
      <c r="AH187" s="1462"/>
      <c r="AI187" s="1462"/>
      <c r="AJ187" s="1462"/>
      <c r="AK187" s="1462"/>
      <c r="AL187" s="1462"/>
      <c r="AM187" s="1462"/>
      <c r="AN187" s="1462"/>
      <c r="AO187" s="1462"/>
      <c r="AP187" s="1462"/>
      <c r="AQ187" s="1462"/>
      <c r="AR187" s="1462"/>
      <c r="AS187" s="1462"/>
      <c r="AT187" s="1462"/>
      <c r="AU187" s="1462"/>
    </row>
    <row r="188" spans="1:47" s="1045" customFormat="1" ht="28.9" customHeight="1">
      <c r="A188" s="1015" t="s">
        <v>839</v>
      </c>
      <c r="B188" s="1015" t="s">
        <v>840</v>
      </c>
      <c r="C188" s="1015" t="s">
        <v>521</v>
      </c>
      <c r="D188" s="1152" t="s">
        <v>1191</v>
      </c>
      <c r="E188" s="1052">
        <f t="shared" si="69"/>
        <v>0</v>
      </c>
      <c r="F188" s="1050"/>
      <c r="G188" s="1050"/>
      <c r="H188" s="1050"/>
      <c r="I188" s="1050"/>
      <c r="J188" s="1052">
        <f t="shared" si="70"/>
        <v>7543026</v>
      </c>
      <c r="K188" s="1292"/>
      <c r="L188" s="1292"/>
      <c r="M188" s="1292"/>
      <c r="N188" s="1050">
        <f>13037900+992933-6687238+188436+10995</f>
        <v>7543026</v>
      </c>
      <c r="O188" s="1050">
        <f>13037900+992933-6687238+188436+10995</f>
        <v>7543026</v>
      </c>
      <c r="P188" s="1050">
        <f>13037900-8737900+970216</f>
        <v>5270216</v>
      </c>
      <c r="Q188" s="1020">
        <f t="shared" si="71"/>
        <v>7543026</v>
      </c>
      <c r="R188" s="1482">
        <f t="shared" si="59"/>
        <v>7543026</v>
      </c>
      <c r="S188" s="1455"/>
      <c r="T188" s="1450">
        <f>P188-O188</f>
        <v>-2272810</v>
      </c>
      <c r="U188" s="1450"/>
      <c r="V188" s="1450">
        <f t="shared" si="68"/>
        <v>0</v>
      </c>
      <c r="W188" s="1462"/>
      <c r="X188" s="1462"/>
      <c r="Y188" s="1462"/>
      <c r="Z188" s="1462"/>
      <c r="AA188" s="1462"/>
      <c r="AB188" s="1462"/>
      <c r="AC188" s="1462"/>
      <c r="AD188" s="1462"/>
      <c r="AE188" s="1462"/>
      <c r="AF188" s="1462"/>
      <c r="AG188" s="1462"/>
      <c r="AH188" s="1462"/>
      <c r="AI188" s="1462"/>
      <c r="AJ188" s="1462"/>
      <c r="AK188" s="1462"/>
      <c r="AL188" s="1462"/>
      <c r="AM188" s="1462"/>
      <c r="AN188" s="1462"/>
      <c r="AO188" s="1462"/>
      <c r="AP188" s="1462"/>
      <c r="AQ188" s="1462"/>
      <c r="AR188" s="1462"/>
      <c r="AS188" s="1462"/>
      <c r="AT188" s="1462"/>
      <c r="AU188" s="1462"/>
    </row>
    <row r="189" spans="1:47" s="455" customFormat="1" ht="31.15" customHeight="1">
      <c r="A189" s="42" t="s">
        <v>568</v>
      </c>
      <c r="B189" s="42" t="s">
        <v>373</v>
      </c>
      <c r="C189" s="42" t="s">
        <v>521</v>
      </c>
      <c r="D189" s="41" t="s">
        <v>524</v>
      </c>
      <c r="E189" s="913">
        <f t="shared" si="69"/>
        <v>0</v>
      </c>
      <c r="F189" s="913"/>
      <c r="G189" s="913"/>
      <c r="H189" s="913"/>
      <c r="I189" s="913"/>
      <c r="J189" s="913">
        <f t="shared" si="70"/>
        <v>265083</v>
      </c>
      <c r="K189" s="1297"/>
      <c r="L189" s="913"/>
      <c r="M189" s="913"/>
      <c r="N189" s="913">
        <v>265083</v>
      </c>
      <c r="O189" s="913">
        <v>265083</v>
      </c>
      <c r="P189" s="913">
        <v>265083</v>
      </c>
      <c r="Q189" s="894">
        <f t="shared" si="71"/>
        <v>265083</v>
      </c>
      <c r="R189" s="1482">
        <f t="shared" si="59"/>
        <v>265083</v>
      </c>
      <c r="S189" s="1455">
        <f t="shared" si="57"/>
        <v>0</v>
      </c>
      <c r="T189" s="1450">
        <f t="shared" ref="T189:T252" si="72">P189-O189</f>
        <v>0</v>
      </c>
      <c r="U189" s="1450"/>
      <c r="V189" s="1450">
        <f t="shared" si="68"/>
        <v>0</v>
      </c>
      <c r="W189" s="1449"/>
      <c r="X189" s="1449"/>
      <c r="Y189" s="1449"/>
      <c r="Z189" s="1449"/>
      <c r="AA189" s="1449"/>
      <c r="AB189" s="1449"/>
      <c r="AC189" s="1449"/>
      <c r="AD189" s="1449"/>
      <c r="AE189" s="1449"/>
      <c r="AF189" s="1449"/>
      <c r="AG189" s="1449"/>
      <c r="AH189" s="1449"/>
      <c r="AI189" s="1449"/>
      <c r="AJ189" s="1449"/>
      <c r="AK189" s="1449"/>
      <c r="AL189" s="1449"/>
      <c r="AM189" s="1449"/>
      <c r="AN189" s="1449"/>
      <c r="AO189" s="1449"/>
      <c r="AP189" s="1449"/>
      <c r="AQ189" s="1449"/>
      <c r="AR189" s="1449"/>
      <c r="AS189" s="1449"/>
      <c r="AT189" s="1449"/>
      <c r="AU189" s="1449"/>
    </row>
    <row r="190" spans="1:47" s="1041" customFormat="1" ht="52.9" customHeight="1">
      <c r="A190" s="1017" t="s">
        <v>813</v>
      </c>
      <c r="B190" s="1017" t="s">
        <v>814</v>
      </c>
      <c r="C190" s="1017" t="s">
        <v>278</v>
      </c>
      <c r="D190" s="1053" t="s">
        <v>815</v>
      </c>
      <c r="E190" s="1052">
        <f t="shared" si="69"/>
        <v>0</v>
      </c>
      <c r="F190" s="1052"/>
      <c r="G190" s="1052"/>
      <c r="H190" s="1052"/>
      <c r="I190" s="1052"/>
      <c r="J190" s="1052">
        <f t="shared" si="70"/>
        <v>84857829</v>
      </c>
      <c r="K190" s="1298"/>
      <c r="L190" s="1052"/>
      <c r="M190" s="1052"/>
      <c r="N190" s="1052">
        <f>99985900+382000+1000000-23149142+9614071-475000-2500000</f>
        <v>84857829</v>
      </c>
      <c r="O190" s="1052">
        <f>99985900+382000+1000000-23149142+9614071-475000-2500000</f>
        <v>84857829</v>
      </c>
      <c r="P190" s="1052">
        <f>99985900-42923532+(9887195)+4714783-2500000</f>
        <v>69164346</v>
      </c>
      <c r="Q190" s="1020">
        <f t="shared" si="71"/>
        <v>84857829</v>
      </c>
      <c r="R190" s="1482">
        <f t="shared" si="59"/>
        <v>84857829</v>
      </c>
      <c r="S190" s="1466"/>
      <c r="T190" s="1450">
        <f t="shared" si="72"/>
        <v>-15693483</v>
      </c>
      <c r="U190" s="1450"/>
      <c r="V190" s="1450">
        <f t="shared" si="68"/>
        <v>0</v>
      </c>
      <c r="W190" s="1456"/>
      <c r="X190" s="1456"/>
      <c r="Y190" s="1456"/>
      <c r="Z190" s="1456"/>
      <c r="AA190" s="1456"/>
      <c r="AB190" s="1456"/>
      <c r="AC190" s="1456"/>
      <c r="AD190" s="1456"/>
      <c r="AE190" s="1456"/>
      <c r="AF190" s="1456"/>
      <c r="AG190" s="1456"/>
      <c r="AH190" s="1456"/>
      <c r="AI190" s="1456"/>
      <c r="AJ190" s="1456"/>
      <c r="AK190" s="1456"/>
      <c r="AL190" s="1456"/>
      <c r="AM190" s="1456"/>
      <c r="AN190" s="1456"/>
      <c r="AO190" s="1456"/>
      <c r="AP190" s="1456"/>
      <c r="AQ190" s="1456"/>
      <c r="AR190" s="1456"/>
      <c r="AS190" s="1456"/>
      <c r="AT190" s="1456"/>
      <c r="AU190" s="1456"/>
    </row>
    <row r="191" spans="1:47" s="1041" customFormat="1" ht="57.6" customHeight="1">
      <c r="A191" s="1017" t="s">
        <v>1285</v>
      </c>
      <c r="B191" s="1017" t="s">
        <v>1286</v>
      </c>
      <c r="C191" s="1017" t="s">
        <v>278</v>
      </c>
      <c r="D191" s="1053" t="s">
        <v>1287</v>
      </c>
      <c r="E191" s="1052"/>
      <c r="F191" s="1052"/>
      <c r="G191" s="1052"/>
      <c r="H191" s="1052"/>
      <c r="I191" s="1052"/>
      <c r="J191" s="1052">
        <f t="shared" si="70"/>
        <v>600000</v>
      </c>
      <c r="K191" s="1298"/>
      <c r="L191" s="1052"/>
      <c r="M191" s="1052"/>
      <c r="N191" s="1052">
        <v>600000</v>
      </c>
      <c r="O191" s="1052">
        <v>600000</v>
      </c>
      <c r="P191" s="1052">
        <v>600000</v>
      </c>
      <c r="Q191" s="1020">
        <f>J191+E191</f>
        <v>600000</v>
      </c>
      <c r="R191" s="1482">
        <f t="shared" si="59"/>
        <v>600000</v>
      </c>
      <c r="S191" s="1466"/>
      <c r="T191" s="1450">
        <f t="shared" si="72"/>
        <v>0</v>
      </c>
      <c r="U191" s="1450"/>
      <c r="V191" s="1450"/>
      <c r="W191" s="1456"/>
      <c r="X191" s="1456"/>
      <c r="Y191" s="1456"/>
      <c r="Z191" s="1456"/>
      <c r="AA191" s="1456"/>
      <c r="AB191" s="1456"/>
      <c r="AC191" s="1456"/>
      <c r="AD191" s="1456"/>
      <c r="AE191" s="1456"/>
      <c r="AF191" s="1456"/>
      <c r="AG191" s="1456"/>
      <c r="AH191" s="1456"/>
      <c r="AI191" s="1456"/>
      <c r="AJ191" s="1456"/>
      <c r="AK191" s="1456"/>
      <c r="AL191" s="1456"/>
      <c r="AM191" s="1456"/>
      <c r="AN191" s="1456"/>
      <c r="AO191" s="1456"/>
      <c r="AP191" s="1456"/>
      <c r="AQ191" s="1456"/>
      <c r="AR191" s="1456"/>
      <c r="AS191" s="1456"/>
      <c r="AT191" s="1456"/>
      <c r="AU191" s="1456"/>
    </row>
    <row r="192" spans="1:47" s="1041" customFormat="1" ht="84" customHeight="1">
      <c r="A192" s="1017" t="s">
        <v>841</v>
      </c>
      <c r="B192" s="1017" t="s">
        <v>842</v>
      </c>
      <c r="C192" s="1017" t="s">
        <v>278</v>
      </c>
      <c r="D192" s="1053" t="s">
        <v>843</v>
      </c>
      <c r="E192" s="1052">
        <f t="shared" si="69"/>
        <v>0</v>
      </c>
      <c r="F192" s="1052"/>
      <c r="G192" s="1052"/>
      <c r="H192" s="1052"/>
      <c r="I192" s="1052"/>
      <c r="J192" s="1052">
        <f t="shared" si="70"/>
        <v>130092537</v>
      </c>
      <c r="K192" s="1298"/>
      <c r="L192" s="1052"/>
      <c r="M192" s="1052"/>
      <c r="N192" s="1052">
        <f>38766100+180000+3591663+78274496+540000+7212278+1528000</f>
        <v>130092537</v>
      </c>
      <c r="O192" s="1052">
        <f>38766100+180000+3591663+78274496+540000+7212278+1528000</f>
        <v>130092537</v>
      </c>
      <c r="P192" s="1052">
        <f>38766100+3591663+720000</f>
        <v>43077763</v>
      </c>
      <c r="Q192" s="1020">
        <f t="shared" si="71"/>
        <v>130092537</v>
      </c>
      <c r="R192" s="1482">
        <f t="shared" si="59"/>
        <v>130092537</v>
      </c>
      <c r="S192" s="1469"/>
      <c r="T192" s="1450">
        <f t="shared" si="72"/>
        <v>-87014774</v>
      </c>
      <c r="U192" s="1450"/>
      <c r="V192" s="1450">
        <f t="shared" si="68"/>
        <v>0</v>
      </c>
      <c r="W192" s="1456"/>
      <c r="X192" s="1456"/>
      <c r="Y192" s="1456"/>
      <c r="Z192" s="1456"/>
      <c r="AA192" s="1456"/>
      <c r="AB192" s="1456"/>
      <c r="AC192" s="1456"/>
      <c r="AD192" s="1456"/>
      <c r="AE192" s="1456"/>
      <c r="AF192" s="1456"/>
      <c r="AG192" s="1456"/>
      <c r="AH192" s="1456"/>
      <c r="AI192" s="1456"/>
      <c r="AJ192" s="1456"/>
      <c r="AK192" s="1456"/>
      <c r="AL192" s="1456"/>
      <c r="AM192" s="1456"/>
      <c r="AN192" s="1456"/>
      <c r="AO192" s="1456"/>
      <c r="AP192" s="1456"/>
      <c r="AQ192" s="1456"/>
      <c r="AR192" s="1456"/>
      <c r="AS192" s="1456"/>
      <c r="AT192" s="1456"/>
      <c r="AU192" s="1456"/>
    </row>
    <row r="193" spans="1:47" ht="43.15" customHeight="1">
      <c r="A193" s="1015" t="s">
        <v>748</v>
      </c>
      <c r="B193" s="1015" t="s">
        <v>749</v>
      </c>
      <c r="C193" s="1015" t="s">
        <v>278</v>
      </c>
      <c r="D193" s="1055" t="s">
        <v>750</v>
      </c>
      <c r="E193" s="1052">
        <f t="shared" si="69"/>
        <v>425000</v>
      </c>
      <c r="F193" s="1052">
        <f>245000+180000</f>
        <v>425000</v>
      </c>
      <c r="G193" s="1052"/>
      <c r="H193" s="1052"/>
      <c r="I193" s="1052"/>
      <c r="J193" s="1052">
        <f t="shared" si="70"/>
        <v>697068</v>
      </c>
      <c r="K193" s="1298"/>
      <c r="L193" s="1052"/>
      <c r="M193" s="1052"/>
      <c r="N193" s="1052">
        <f>455000+242068</f>
        <v>697068</v>
      </c>
      <c r="O193" s="1052">
        <f>455000+242068</f>
        <v>697068</v>
      </c>
      <c r="P193" s="1052">
        <f>455000+242068</f>
        <v>697068</v>
      </c>
      <c r="Q193" s="1020">
        <f t="shared" si="71"/>
        <v>1122068</v>
      </c>
      <c r="R193" s="1482">
        <f t="shared" si="59"/>
        <v>1122068</v>
      </c>
      <c r="S193" s="1455">
        <f t="shared" si="57"/>
        <v>0</v>
      </c>
      <c r="T193" s="1450">
        <f t="shared" si="72"/>
        <v>0</v>
      </c>
      <c r="U193" s="1450"/>
      <c r="V193" s="1450">
        <f t="shared" si="68"/>
        <v>0</v>
      </c>
      <c r="W193" s="1449"/>
      <c r="X193" s="1449"/>
      <c r="Y193" s="1449"/>
      <c r="Z193" s="1449"/>
      <c r="AA193" s="1449"/>
      <c r="AB193" s="1449"/>
      <c r="AC193" s="1449"/>
      <c r="AD193" s="1449"/>
      <c r="AE193" s="1449"/>
      <c r="AF193" s="1449"/>
      <c r="AG193" s="1449"/>
      <c r="AH193" s="1449"/>
      <c r="AI193" s="1449"/>
      <c r="AJ193" s="1449"/>
      <c r="AK193" s="1449"/>
      <c r="AL193" s="1449"/>
      <c r="AM193" s="1449"/>
      <c r="AN193" s="1449"/>
      <c r="AO193" s="1449"/>
      <c r="AP193" s="1449"/>
      <c r="AQ193" s="1449"/>
      <c r="AR193" s="1449"/>
      <c r="AS193" s="1449"/>
      <c r="AT193" s="1449"/>
      <c r="AU193" s="1449"/>
    </row>
    <row r="194" spans="1:47" ht="15.75">
      <c r="A194" s="1015" t="s">
        <v>751</v>
      </c>
      <c r="B194" s="1015" t="s">
        <v>752</v>
      </c>
      <c r="C194" s="1015" t="s">
        <v>741</v>
      </c>
      <c r="D194" s="1054" t="s">
        <v>753</v>
      </c>
      <c r="E194" s="1052">
        <f t="shared" si="69"/>
        <v>5000000</v>
      </c>
      <c r="F194" s="1052">
        <f>4000000+1000000</f>
        <v>5000000</v>
      </c>
      <c r="G194" s="1052"/>
      <c r="H194" s="1052"/>
      <c r="I194" s="1052"/>
      <c r="J194" s="1052">
        <f t="shared" si="70"/>
        <v>0</v>
      </c>
      <c r="K194" s="1298"/>
      <c r="L194" s="1052"/>
      <c r="M194" s="1052"/>
      <c r="N194" s="1052"/>
      <c r="O194" s="1052"/>
      <c r="P194" s="1052"/>
      <c r="Q194" s="1020">
        <f t="shared" si="71"/>
        <v>5000000</v>
      </c>
      <c r="R194" s="1482">
        <f t="shared" si="59"/>
        <v>5000000</v>
      </c>
      <c r="S194" s="1455">
        <f t="shared" si="57"/>
        <v>0</v>
      </c>
      <c r="T194" s="1450">
        <f t="shared" si="72"/>
        <v>0</v>
      </c>
      <c r="U194" s="1450"/>
      <c r="V194" s="1450">
        <f t="shared" si="68"/>
        <v>0</v>
      </c>
      <c r="W194" s="1449"/>
      <c r="X194" s="1449"/>
      <c r="Y194" s="1449"/>
      <c r="Z194" s="1449"/>
      <c r="AA194" s="1449"/>
      <c r="AB194" s="1449"/>
      <c r="AC194" s="1449"/>
      <c r="AD194" s="1449"/>
      <c r="AE194" s="1449"/>
      <c r="AF194" s="1449"/>
      <c r="AG194" s="1449"/>
      <c r="AH194" s="1449"/>
      <c r="AI194" s="1449"/>
      <c r="AJ194" s="1449"/>
      <c r="AK194" s="1449"/>
      <c r="AL194" s="1449"/>
      <c r="AM194" s="1449"/>
      <c r="AN194" s="1449"/>
      <c r="AO194" s="1449"/>
      <c r="AP194" s="1449"/>
      <c r="AQ194" s="1449"/>
      <c r="AR194" s="1449"/>
      <c r="AS194" s="1449"/>
      <c r="AT194" s="1449"/>
      <c r="AU194" s="1449"/>
    </row>
    <row r="195" spans="1:47" s="87" customFormat="1" ht="31.15" hidden="1" customHeight="1">
      <c r="A195" s="42" t="s">
        <v>570</v>
      </c>
      <c r="B195" s="42" t="s">
        <v>571</v>
      </c>
      <c r="C195" s="42" t="s">
        <v>370</v>
      </c>
      <c r="D195" s="41" t="s">
        <v>308</v>
      </c>
      <c r="E195" s="316">
        <f t="shared" si="69"/>
        <v>0</v>
      </c>
      <c r="F195" s="316"/>
      <c r="G195" s="316"/>
      <c r="H195" s="316"/>
      <c r="I195" s="316"/>
      <c r="J195" s="319">
        <f t="shared" si="70"/>
        <v>0</v>
      </c>
      <c r="K195" s="914"/>
      <c r="L195" s="326"/>
      <c r="M195" s="326"/>
      <c r="N195" s="316"/>
      <c r="O195" s="316"/>
      <c r="P195" s="316"/>
      <c r="Q195" s="319">
        <f t="shared" si="71"/>
        <v>0</v>
      </c>
      <c r="R195" s="1481">
        <f t="shared" si="59"/>
        <v>0</v>
      </c>
      <c r="S195" s="284">
        <f t="shared" si="57"/>
        <v>0</v>
      </c>
      <c r="T195" s="1006">
        <f t="shared" si="72"/>
        <v>0</v>
      </c>
      <c r="U195" s="536"/>
      <c r="V195" s="536">
        <f t="shared" si="68"/>
        <v>0</v>
      </c>
    </row>
    <row r="196" spans="1:47" s="299" customFormat="1" ht="31.15" customHeight="1">
      <c r="A196" s="293" t="s">
        <v>569</v>
      </c>
      <c r="B196" s="293" t="s">
        <v>393</v>
      </c>
      <c r="C196" s="293" t="s">
        <v>6</v>
      </c>
      <c r="D196" s="45" t="s">
        <v>90</v>
      </c>
      <c r="E196" s="913">
        <f>F196+I196</f>
        <v>0</v>
      </c>
      <c r="F196" s="913"/>
      <c r="G196" s="913"/>
      <c r="H196" s="913"/>
      <c r="I196" s="913"/>
      <c r="J196" s="913">
        <f>+K196+N196</f>
        <v>1500000</v>
      </c>
      <c r="K196" s="1297"/>
      <c r="L196" s="913"/>
      <c r="M196" s="913"/>
      <c r="N196" s="913">
        <v>1500000</v>
      </c>
      <c r="O196" s="913"/>
      <c r="P196" s="913"/>
      <c r="Q196" s="894">
        <f>J196+E196</f>
        <v>1500000</v>
      </c>
      <c r="R196" s="1482">
        <f t="shared" si="59"/>
        <v>1500000</v>
      </c>
      <c r="S196" s="1455">
        <f t="shared" si="57"/>
        <v>0</v>
      </c>
      <c r="T196" s="1450">
        <f t="shared" si="72"/>
        <v>0</v>
      </c>
      <c r="U196" s="1450"/>
      <c r="V196" s="1450">
        <f t="shared" si="68"/>
        <v>-1500000</v>
      </c>
      <c r="W196" s="1470"/>
      <c r="X196" s="1470"/>
      <c r="Y196" s="1470"/>
      <c r="Z196" s="1470"/>
      <c r="AA196" s="1470"/>
      <c r="AB196" s="1470"/>
      <c r="AC196" s="1470"/>
      <c r="AD196" s="1470"/>
      <c r="AE196" s="1470"/>
      <c r="AF196" s="1470"/>
      <c r="AG196" s="1470"/>
      <c r="AH196" s="1470"/>
      <c r="AI196" s="1470"/>
      <c r="AJ196" s="1470"/>
      <c r="AK196" s="1470"/>
      <c r="AL196" s="1470"/>
      <c r="AM196" s="1470"/>
      <c r="AN196" s="1470"/>
      <c r="AO196" s="1470"/>
      <c r="AP196" s="1470"/>
      <c r="AQ196" s="1470"/>
      <c r="AR196" s="1470"/>
      <c r="AS196" s="1470"/>
      <c r="AT196" s="1470"/>
      <c r="AU196" s="1470"/>
    </row>
    <row r="197" spans="1:47" s="1056" customFormat="1" ht="15.75">
      <c r="A197" s="1017" t="s">
        <v>572</v>
      </c>
      <c r="B197" s="1017" t="s">
        <v>573</v>
      </c>
      <c r="C197" s="1017" t="s">
        <v>26</v>
      </c>
      <c r="D197" s="1018" t="s">
        <v>91</v>
      </c>
      <c r="E197" s="1052">
        <f>F197+I197</f>
        <v>0</v>
      </c>
      <c r="F197" s="1052"/>
      <c r="G197" s="1052"/>
      <c r="H197" s="1052"/>
      <c r="I197" s="1052"/>
      <c r="J197" s="1052">
        <f>+K197+N197</f>
        <v>4925800</v>
      </c>
      <c r="K197" s="1298"/>
      <c r="L197" s="1052"/>
      <c r="M197" s="1052"/>
      <c r="N197" s="1052">
        <f>5130000-204200</f>
        <v>4925800</v>
      </c>
      <c r="O197" s="1052"/>
      <c r="P197" s="1052"/>
      <c r="Q197" s="1020">
        <f>J197+E197</f>
        <v>4925800</v>
      </c>
      <c r="R197" s="1482">
        <f t="shared" si="59"/>
        <v>4925800</v>
      </c>
      <c r="S197" s="1455">
        <f t="shared" si="57"/>
        <v>0</v>
      </c>
      <c r="T197" s="1450">
        <f t="shared" si="72"/>
        <v>0</v>
      </c>
      <c r="U197" s="1450"/>
      <c r="V197" s="1450">
        <f t="shared" si="68"/>
        <v>-4925800</v>
      </c>
      <c r="W197" s="1471"/>
      <c r="X197" s="1471"/>
      <c r="Y197" s="1471"/>
      <c r="Z197" s="1471"/>
      <c r="AA197" s="1471"/>
      <c r="AB197" s="1471"/>
      <c r="AC197" s="1471"/>
      <c r="AD197" s="1471"/>
      <c r="AE197" s="1471"/>
      <c r="AF197" s="1471"/>
      <c r="AG197" s="1471"/>
      <c r="AH197" s="1471"/>
      <c r="AI197" s="1471"/>
      <c r="AJ197" s="1471"/>
      <c r="AK197" s="1471"/>
      <c r="AL197" s="1471"/>
      <c r="AM197" s="1471"/>
      <c r="AN197" s="1471"/>
      <c r="AO197" s="1471"/>
      <c r="AP197" s="1471"/>
      <c r="AQ197" s="1471"/>
      <c r="AR197" s="1471"/>
      <c r="AS197" s="1471"/>
      <c r="AT197" s="1471"/>
      <c r="AU197" s="1471"/>
    </row>
    <row r="198" spans="1:47" s="298" customFormat="1" ht="46.9" customHeight="1">
      <c r="A198" s="292">
        <v>1618313</v>
      </c>
      <c r="B198" s="292">
        <v>8313</v>
      </c>
      <c r="C198" s="293" t="s">
        <v>375</v>
      </c>
      <c r="D198" s="45" t="s">
        <v>191</v>
      </c>
      <c r="E198" s="445">
        <f>+F198+I198</f>
        <v>0</v>
      </c>
      <c r="F198" s="445"/>
      <c r="G198" s="445"/>
      <c r="H198" s="445"/>
      <c r="I198" s="445"/>
      <c r="J198" s="913">
        <f>+K198+N198</f>
        <v>3022100</v>
      </c>
      <c r="K198" s="917"/>
      <c r="L198" s="915"/>
      <c r="M198" s="915"/>
      <c r="N198" s="915">
        <v>3022100</v>
      </c>
      <c r="O198" s="915"/>
      <c r="P198" s="915"/>
      <c r="Q198" s="319">
        <f>J198+E198</f>
        <v>3022100</v>
      </c>
      <c r="R198" s="1482">
        <f t="shared" si="59"/>
        <v>3022100</v>
      </c>
      <c r="S198" s="1455"/>
      <c r="T198" s="1450">
        <f t="shared" si="72"/>
        <v>0</v>
      </c>
      <c r="U198" s="1450"/>
      <c r="V198" s="1450">
        <f t="shared" si="68"/>
        <v>-3022100</v>
      </c>
      <c r="W198" s="1463"/>
      <c r="X198" s="1463"/>
      <c r="Y198" s="1463"/>
      <c r="Z198" s="1463"/>
      <c r="AA198" s="1463"/>
      <c r="AB198" s="1463"/>
      <c r="AC198" s="1463"/>
      <c r="AD198" s="1463"/>
      <c r="AE198" s="1463"/>
      <c r="AF198" s="1463"/>
      <c r="AG198" s="1463"/>
      <c r="AH198" s="1463"/>
      <c r="AI198" s="1463"/>
      <c r="AJ198" s="1463"/>
      <c r="AK198" s="1463"/>
      <c r="AL198" s="1463"/>
      <c r="AM198" s="1463"/>
      <c r="AN198" s="1463"/>
      <c r="AO198" s="1463"/>
      <c r="AP198" s="1463"/>
      <c r="AQ198" s="1463"/>
      <c r="AR198" s="1463"/>
      <c r="AS198" s="1463"/>
      <c r="AT198" s="1463"/>
      <c r="AU198" s="1463"/>
    </row>
    <row r="199" spans="1:47" s="24" customFormat="1" ht="31.15" hidden="1" customHeight="1">
      <c r="A199" s="39">
        <v>1618330</v>
      </c>
      <c r="B199" s="39">
        <v>8330</v>
      </c>
      <c r="C199" s="42" t="s">
        <v>376</v>
      </c>
      <c r="D199" s="41" t="s">
        <v>574</v>
      </c>
      <c r="E199" s="46">
        <f>+F199+I199</f>
        <v>0</v>
      </c>
      <c r="F199" s="46"/>
      <c r="G199" s="46"/>
      <c r="H199" s="46"/>
      <c r="I199" s="46"/>
      <c r="J199" s="316">
        <f>+K199+N199</f>
        <v>0</v>
      </c>
      <c r="K199" s="96"/>
      <c r="L199" s="48"/>
      <c r="M199" s="48"/>
      <c r="N199" s="48"/>
      <c r="O199" s="48"/>
      <c r="P199" s="48"/>
      <c r="Q199" s="316">
        <f>J199+E199</f>
        <v>0</v>
      </c>
      <c r="R199" s="1481">
        <f t="shared" si="59"/>
        <v>0</v>
      </c>
      <c r="S199" s="284">
        <f t="shared" si="57"/>
        <v>0</v>
      </c>
      <c r="T199" s="1006">
        <f t="shared" si="72"/>
        <v>0</v>
      </c>
      <c r="U199" s="536"/>
      <c r="V199" s="536">
        <f t="shared" si="68"/>
        <v>0</v>
      </c>
    </row>
    <row r="200" spans="1:47" s="1047" customFormat="1" ht="47.25">
      <c r="A200" s="1033" t="s">
        <v>808</v>
      </c>
      <c r="B200" s="1033"/>
      <c r="C200" s="1033"/>
      <c r="D200" s="1024" t="s">
        <v>812</v>
      </c>
      <c r="E200" s="908">
        <f t="shared" ref="E200:Q200" si="73">E202+E204+E206+E203+E205+E207</f>
        <v>350000</v>
      </c>
      <c r="F200" s="908">
        <f t="shared" si="73"/>
        <v>350000</v>
      </c>
      <c r="G200" s="908">
        <f t="shared" si="73"/>
        <v>0</v>
      </c>
      <c r="H200" s="908">
        <f t="shared" si="73"/>
        <v>0</v>
      </c>
      <c r="I200" s="908">
        <f t="shared" si="73"/>
        <v>0</v>
      </c>
      <c r="J200" s="908">
        <f t="shared" si="73"/>
        <v>916810400</v>
      </c>
      <c r="K200" s="908">
        <f t="shared" si="73"/>
        <v>542307000</v>
      </c>
      <c r="L200" s="908">
        <f t="shared" si="73"/>
        <v>0</v>
      </c>
      <c r="M200" s="908">
        <f t="shared" si="73"/>
        <v>0</v>
      </c>
      <c r="N200" s="908">
        <f t="shared" si="73"/>
        <v>374503400</v>
      </c>
      <c r="O200" s="908">
        <f t="shared" si="73"/>
        <v>20000</v>
      </c>
      <c r="P200" s="908">
        <f t="shared" si="73"/>
        <v>20000</v>
      </c>
      <c r="Q200" s="908">
        <f t="shared" si="73"/>
        <v>917160400</v>
      </c>
      <c r="R200" s="1482">
        <f t="shared" si="59"/>
        <v>917160400</v>
      </c>
      <c r="S200" s="1455">
        <f t="shared" ref="S200:S206" si="74">R200-Q200</f>
        <v>0</v>
      </c>
      <c r="T200" s="1450">
        <f t="shared" si="72"/>
        <v>0</v>
      </c>
      <c r="U200" s="1450"/>
      <c r="V200" s="1450">
        <f t="shared" si="68"/>
        <v>-374483400</v>
      </c>
      <c r="W200" s="1467"/>
      <c r="X200" s="1467"/>
      <c r="Y200" s="1467"/>
      <c r="Z200" s="1467"/>
      <c r="AA200" s="1467"/>
      <c r="AB200" s="1467"/>
      <c r="AC200" s="1467"/>
      <c r="AD200" s="1467"/>
      <c r="AE200" s="1467"/>
      <c r="AF200" s="1467"/>
      <c r="AG200" s="1467"/>
      <c r="AH200" s="1467"/>
      <c r="AI200" s="1467"/>
      <c r="AJ200" s="1467"/>
      <c r="AK200" s="1467"/>
      <c r="AL200" s="1467"/>
      <c r="AM200" s="1467"/>
      <c r="AN200" s="1467"/>
      <c r="AO200" s="1467"/>
      <c r="AP200" s="1467"/>
      <c r="AQ200" s="1467"/>
      <c r="AR200" s="1467"/>
      <c r="AS200" s="1467"/>
      <c r="AT200" s="1467"/>
      <c r="AU200" s="1467"/>
    </row>
    <row r="201" spans="1:47" s="1047" customFormat="1" ht="47.25">
      <c r="A201" s="1033" t="s">
        <v>809</v>
      </c>
      <c r="B201" s="1033"/>
      <c r="C201" s="1033"/>
      <c r="D201" s="1024" t="s">
        <v>812</v>
      </c>
      <c r="E201" s="908">
        <f>SUM(E202:E207)</f>
        <v>350000</v>
      </c>
      <c r="F201" s="908">
        <f t="shared" ref="F201:Q201" si="75">SUM(F202:F207)</f>
        <v>350000</v>
      </c>
      <c r="G201" s="908">
        <f t="shared" si="75"/>
        <v>0</v>
      </c>
      <c r="H201" s="908">
        <f t="shared" si="75"/>
        <v>0</v>
      </c>
      <c r="I201" s="908">
        <f t="shared" si="75"/>
        <v>0</v>
      </c>
      <c r="J201" s="908">
        <f t="shared" si="75"/>
        <v>916810400</v>
      </c>
      <c r="K201" s="908">
        <f t="shared" si="75"/>
        <v>542307000</v>
      </c>
      <c r="L201" s="908">
        <f t="shared" si="75"/>
        <v>0</v>
      </c>
      <c r="M201" s="908">
        <f t="shared" si="75"/>
        <v>0</v>
      </c>
      <c r="N201" s="908">
        <f t="shared" si="75"/>
        <v>374503400</v>
      </c>
      <c r="O201" s="908">
        <f t="shared" si="75"/>
        <v>20000</v>
      </c>
      <c r="P201" s="908">
        <f t="shared" si="75"/>
        <v>20000</v>
      </c>
      <c r="Q201" s="908">
        <f t="shared" si="75"/>
        <v>917160400</v>
      </c>
      <c r="R201" s="1482">
        <f t="shared" si="59"/>
        <v>917160400</v>
      </c>
      <c r="S201" s="1455">
        <f t="shared" si="74"/>
        <v>0</v>
      </c>
      <c r="T201" s="1450">
        <f t="shared" si="72"/>
        <v>0</v>
      </c>
      <c r="U201" s="1450"/>
      <c r="V201" s="1450">
        <f t="shared" si="68"/>
        <v>-374483400</v>
      </c>
      <c r="W201" s="1467"/>
      <c r="X201" s="1467"/>
      <c r="Y201" s="1467"/>
      <c r="Z201" s="1467"/>
      <c r="AA201" s="1467"/>
      <c r="AB201" s="1467"/>
      <c r="AC201" s="1467"/>
      <c r="AD201" s="1467"/>
      <c r="AE201" s="1467"/>
      <c r="AF201" s="1467"/>
      <c r="AG201" s="1467"/>
      <c r="AH201" s="1467"/>
      <c r="AI201" s="1467"/>
      <c r="AJ201" s="1467"/>
      <c r="AK201" s="1467"/>
      <c r="AL201" s="1467"/>
      <c r="AM201" s="1467"/>
      <c r="AN201" s="1467"/>
      <c r="AO201" s="1467"/>
      <c r="AP201" s="1467"/>
      <c r="AQ201" s="1467"/>
      <c r="AR201" s="1467"/>
      <c r="AS201" s="1467"/>
      <c r="AT201" s="1467"/>
      <c r="AU201" s="1467"/>
    </row>
    <row r="202" spans="1:47" s="24" customFormat="1" ht="31.15" hidden="1" customHeight="1">
      <c r="A202" s="42" t="s">
        <v>810</v>
      </c>
      <c r="B202" s="42" t="s">
        <v>599</v>
      </c>
      <c r="C202" s="42" t="s">
        <v>371</v>
      </c>
      <c r="D202" s="41" t="s">
        <v>600</v>
      </c>
      <c r="E202" s="916">
        <f t="shared" ref="E202:E207" si="76">F202+I202</f>
        <v>0</v>
      </c>
      <c r="F202" s="916"/>
      <c r="G202" s="46"/>
      <c r="H202" s="46"/>
      <c r="I202" s="46"/>
      <c r="J202" s="46">
        <f t="shared" ref="J202:J207" si="77">+K202+N202</f>
        <v>0</v>
      </c>
      <c r="K202" s="96"/>
      <c r="L202" s="48"/>
      <c r="M202" s="48"/>
      <c r="N202" s="46"/>
      <c r="O202" s="48"/>
      <c r="P202" s="48"/>
      <c r="Q202" s="46">
        <f t="shared" ref="Q202:Q207" si="78">J202+E202</f>
        <v>0</v>
      </c>
      <c r="R202" s="1481">
        <f t="shared" si="59"/>
        <v>0</v>
      </c>
      <c r="S202" s="284">
        <f t="shared" si="74"/>
        <v>0</v>
      </c>
      <c r="T202" s="1006">
        <f t="shared" si="72"/>
        <v>0</v>
      </c>
      <c r="U202" s="536"/>
      <c r="V202" s="536">
        <f t="shared" si="68"/>
        <v>0</v>
      </c>
    </row>
    <row r="203" spans="1:47" s="1062" customFormat="1" ht="47.25">
      <c r="A203" s="1057">
        <v>1917461</v>
      </c>
      <c r="B203" s="1057">
        <v>7461</v>
      </c>
      <c r="C203" s="1017" t="s">
        <v>371</v>
      </c>
      <c r="D203" s="1018" t="s">
        <v>759</v>
      </c>
      <c r="E203" s="1058">
        <f t="shared" si="76"/>
        <v>350000</v>
      </c>
      <c r="F203" s="1058">
        <v>350000</v>
      </c>
      <c r="G203" s="1059"/>
      <c r="H203" s="1059"/>
      <c r="I203" s="1059"/>
      <c r="J203" s="1059">
        <f t="shared" si="77"/>
        <v>20000</v>
      </c>
      <c r="K203" s="1060"/>
      <c r="L203" s="1061"/>
      <c r="M203" s="1061"/>
      <c r="N203" s="1059">
        <v>20000</v>
      </c>
      <c r="O203" s="1061">
        <v>20000</v>
      </c>
      <c r="P203" s="1061">
        <v>20000</v>
      </c>
      <c r="Q203" s="1059">
        <f t="shared" si="78"/>
        <v>370000</v>
      </c>
      <c r="R203" s="1482">
        <f t="shared" si="59"/>
        <v>370000</v>
      </c>
      <c r="S203" s="1455"/>
      <c r="T203" s="1450">
        <f t="shared" si="72"/>
        <v>0</v>
      </c>
      <c r="U203" s="1450"/>
      <c r="V203" s="1450">
        <f t="shared" si="68"/>
        <v>0</v>
      </c>
      <c r="W203" s="1463"/>
      <c r="X203" s="1463"/>
      <c r="Y203" s="1463"/>
      <c r="Z203" s="1463"/>
      <c r="AA203" s="1463"/>
      <c r="AB203" s="1463"/>
      <c r="AC203" s="1463"/>
      <c r="AD203" s="1463"/>
      <c r="AE203" s="1463"/>
      <c r="AF203" s="1463"/>
      <c r="AG203" s="1463"/>
      <c r="AH203" s="1463"/>
      <c r="AI203" s="1463"/>
      <c r="AJ203" s="1463"/>
      <c r="AK203" s="1463"/>
      <c r="AL203" s="1463"/>
      <c r="AM203" s="1463"/>
      <c r="AN203" s="1463"/>
      <c r="AO203" s="1463"/>
      <c r="AP203" s="1463"/>
      <c r="AQ203" s="1463"/>
      <c r="AR203" s="1463"/>
      <c r="AS203" s="1463"/>
      <c r="AT203" s="1463"/>
      <c r="AU203" s="1463"/>
    </row>
    <row r="204" spans="1:47" s="1062" customFormat="1" ht="47.25">
      <c r="A204" s="1057">
        <v>1917462</v>
      </c>
      <c r="B204" s="1057">
        <v>7462</v>
      </c>
      <c r="C204" s="1017" t="s">
        <v>371</v>
      </c>
      <c r="D204" s="1018" t="s">
        <v>768</v>
      </c>
      <c r="E204" s="1058">
        <f t="shared" si="76"/>
        <v>0</v>
      </c>
      <c r="F204" s="1058"/>
      <c r="G204" s="1059"/>
      <c r="H204" s="1059"/>
      <c r="I204" s="1059"/>
      <c r="J204" s="1059">
        <f t="shared" si="77"/>
        <v>845415700</v>
      </c>
      <c r="K204" s="1063">
        <f>205375100+344897800-55375100+46034500-70000000</f>
        <v>470932300</v>
      </c>
      <c r="L204" s="1064"/>
      <c r="M204" s="1064"/>
      <c r="N204" s="1058">
        <f>220000000+55375100+29108300+70000000</f>
        <v>374483400</v>
      </c>
      <c r="O204" s="1061"/>
      <c r="P204" s="1061"/>
      <c r="Q204" s="1059">
        <f t="shared" si="78"/>
        <v>845415700</v>
      </c>
      <c r="R204" s="1482">
        <f t="shared" si="59"/>
        <v>845415700</v>
      </c>
      <c r="S204" s="1455">
        <f t="shared" si="74"/>
        <v>0</v>
      </c>
      <c r="T204" s="1450">
        <f t="shared" si="72"/>
        <v>0</v>
      </c>
      <c r="U204" s="1450"/>
      <c r="V204" s="1450">
        <f t="shared" si="68"/>
        <v>-374483400</v>
      </c>
      <c r="W204" s="1463"/>
      <c r="X204" s="1463"/>
      <c r="Y204" s="1463"/>
      <c r="Z204" s="1463"/>
      <c r="AA204" s="1463"/>
      <c r="AB204" s="1463"/>
      <c r="AC204" s="1463"/>
      <c r="AD204" s="1463"/>
      <c r="AE204" s="1463"/>
      <c r="AF204" s="1463"/>
      <c r="AG204" s="1463"/>
      <c r="AH204" s="1463"/>
      <c r="AI204" s="1463"/>
      <c r="AJ204" s="1463"/>
      <c r="AK204" s="1463"/>
      <c r="AL204" s="1463"/>
      <c r="AM204" s="1463"/>
      <c r="AN204" s="1463"/>
      <c r="AO204" s="1463"/>
      <c r="AP204" s="1463"/>
      <c r="AQ204" s="1463"/>
      <c r="AR204" s="1463"/>
      <c r="AS204" s="1463"/>
      <c r="AT204" s="1463"/>
      <c r="AU204" s="1463"/>
    </row>
    <row r="205" spans="1:47" s="298" customFormat="1" ht="150" customHeight="1">
      <c r="A205" s="292">
        <v>1917464</v>
      </c>
      <c r="B205" s="292">
        <v>7464</v>
      </c>
      <c r="C205" s="293" t="s">
        <v>371</v>
      </c>
      <c r="D205" s="45" t="s">
        <v>925</v>
      </c>
      <c r="E205" s="445">
        <f t="shared" si="76"/>
        <v>0</v>
      </c>
      <c r="F205" s="445"/>
      <c r="G205" s="47"/>
      <c r="H205" s="47"/>
      <c r="I205" s="47"/>
      <c r="J205" s="47">
        <f t="shared" si="77"/>
        <v>66272500</v>
      </c>
      <c r="K205" s="917">
        <v>66272500</v>
      </c>
      <c r="L205" s="915"/>
      <c r="M205" s="915"/>
      <c r="N205" s="445"/>
      <c r="O205" s="443"/>
      <c r="P205" s="443"/>
      <c r="Q205" s="47">
        <f t="shared" si="78"/>
        <v>66272500</v>
      </c>
      <c r="R205" s="1482">
        <f t="shared" si="59"/>
        <v>66272500</v>
      </c>
      <c r="S205" s="1455"/>
      <c r="T205" s="1450">
        <f t="shared" si="72"/>
        <v>0</v>
      </c>
      <c r="U205" s="1450"/>
      <c r="V205" s="1450">
        <f t="shared" si="68"/>
        <v>0</v>
      </c>
      <c r="W205" s="1463"/>
      <c r="X205" s="1463"/>
      <c r="Y205" s="1463"/>
      <c r="Z205" s="1463"/>
      <c r="AA205" s="1463"/>
      <c r="AB205" s="1463"/>
      <c r="AC205" s="1463"/>
      <c r="AD205" s="1463"/>
      <c r="AE205" s="1463"/>
      <c r="AF205" s="1463"/>
      <c r="AG205" s="1463"/>
      <c r="AH205" s="1463"/>
      <c r="AI205" s="1463"/>
      <c r="AJ205" s="1463"/>
      <c r="AK205" s="1463"/>
      <c r="AL205" s="1463"/>
      <c r="AM205" s="1463"/>
      <c r="AN205" s="1463"/>
      <c r="AO205" s="1463"/>
      <c r="AP205" s="1463"/>
      <c r="AQ205" s="1463"/>
      <c r="AR205" s="1463"/>
      <c r="AS205" s="1463"/>
      <c r="AT205" s="1463"/>
      <c r="AU205" s="1463"/>
    </row>
    <row r="206" spans="1:47" s="87" customFormat="1" ht="15.75" hidden="1">
      <c r="A206" s="42" t="s">
        <v>811</v>
      </c>
      <c r="B206" s="42" t="s">
        <v>377</v>
      </c>
      <c r="C206" s="42" t="s">
        <v>371</v>
      </c>
      <c r="D206" s="41" t="s">
        <v>601</v>
      </c>
      <c r="E206" s="445">
        <f t="shared" si="76"/>
        <v>0</v>
      </c>
      <c r="F206" s="909"/>
      <c r="G206" s="316"/>
      <c r="H206" s="316"/>
      <c r="I206" s="316"/>
      <c r="J206" s="47">
        <f t="shared" si="77"/>
        <v>0</v>
      </c>
      <c r="K206" s="329"/>
      <c r="L206" s="323"/>
      <c r="M206" s="323"/>
      <c r="N206" s="323"/>
      <c r="O206" s="323"/>
      <c r="P206" s="323"/>
      <c r="Q206" s="47">
        <f t="shared" si="78"/>
        <v>0</v>
      </c>
      <c r="R206" s="1481">
        <f t="shared" si="59"/>
        <v>0</v>
      </c>
      <c r="S206" s="284">
        <f t="shared" si="74"/>
        <v>0</v>
      </c>
      <c r="T206" s="1006">
        <f t="shared" si="72"/>
        <v>0</v>
      </c>
      <c r="U206" s="536"/>
      <c r="V206" s="536">
        <f t="shared" si="68"/>
        <v>0</v>
      </c>
    </row>
    <row r="207" spans="1:47" ht="126" customHeight="1">
      <c r="A207" s="1015" t="s">
        <v>847</v>
      </c>
      <c r="B207" s="1015" t="s">
        <v>619</v>
      </c>
      <c r="C207" s="1015" t="s">
        <v>7</v>
      </c>
      <c r="D207" s="1022" t="s">
        <v>848</v>
      </c>
      <c r="E207" s="1058">
        <f t="shared" si="76"/>
        <v>0</v>
      </c>
      <c r="F207" s="1050"/>
      <c r="G207" s="1013"/>
      <c r="H207" s="1013"/>
      <c r="I207" s="1013"/>
      <c r="J207" s="1059">
        <f t="shared" si="77"/>
        <v>5102200</v>
      </c>
      <c r="K207" s="1031">
        <v>5102200</v>
      </c>
      <c r="L207" s="1032"/>
      <c r="M207" s="1032"/>
      <c r="N207" s="1032"/>
      <c r="O207" s="1032"/>
      <c r="P207" s="1032"/>
      <c r="Q207" s="1059">
        <f t="shared" si="78"/>
        <v>5102200</v>
      </c>
      <c r="R207" s="1482">
        <f t="shared" si="59"/>
        <v>5102200</v>
      </c>
      <c r="S207" s="1455"/>
      <c r="T207" s="1450">
        <f t="shared" si="72"/>
        <v>0</v>
      </c>
      <c r="U207" s="1450"/>
      <c r="V207" s="1450">
        <f t="shared" si="68"/>
        <v>0</v>
      </c>
      <c r="W207" s="1449"/>
      <c r="X207" s="1449"/>
      <c r="Y207" s="1449"/>
      <c r="Z207" s="1449"/>
      <c r="AA207" s="1449"/>
      <c r="AB207" s="1449"/>
      <c r="AC207" s="1449"/>
      <c r="AD207" s="1449"/>
      <c r="AE207" s="1449"/>
      <c r="AF207" s="1449"/>
      <c r="AG207" s="1449"/>
      <c r="AH207" s="1449"/>
      <c r="AI207" s="1449"/>
      <c r="AJ207" s="1449"/>
      <c r="AK207" s="1449"/>
      <c r="AL207" s="1449"/>
      <c r="AM207" s="1449"/>
      <c r="AN207" s="1449"/>
      <c r="AO207" s="1449"/>
      <c r="AP207" s="1449"/>
      <c r="AQ207" s="1449"/>
      <c r="AR207" s="1449"/>
      <c r="AS207" s="1449"/>
      <c r="AT207" s="1449"/>
      <c r="AU207" s="1449"/>
    </row>
    <row r="208" spans="1:47" s="1036" customFormat="1" ht="63">
      <c r="A208" s="1033" t="s">
        <v>575</v>
      </c>
      <c r="B208" s="1033"/>
      <c r="C208" s="1033"/>
      <c r="D208" s="1024" t="s">
        <v>50</v>
      </c>
      <c r="E208" s="908">
        <f t="shared" ref="E208:Q208" si="79">+E212+E211+E210</f>
        <v>3360000</v>
      </c>
      <c r="F208" s="908">
        <f t="shared" si="79"/>
        <v>3360000</v>
      </c>
      <c r="G208" s="908">
        <f t="shared" si="79"/>
        <v>0</v>
      </c>
      <c r="H208" s="908">
        <f t="shared" si="79"/>
        <v>18000</v>
      </c>
      <c r="I208" s="908">
        <f t="shared" si="79"/>
        <v>0</v>
      </c>
      <c r="J208" s="908">
        <f t="shared" si="79"/>
        <v>0</v>
      </c>
      <c r="K208" s="908">
        <f t="shared" si="79"/>
        <v>0</v>
      </c>
      <c r="L208" s="908">
        <f t="shared" si="79"/>
        <v>0</v>
      </c>
      <c r="M208" s="908">
        <f t="shared" si="79"/>
        <v>0</v>
      </c>
      <c r="N208" s="908">
        <f t="shared" si="79"/>
        <v>0</v>
      </c>
      <c r="O208" s="908">
        <f t="shared" si="79"/>
        <v>0</v>
      </c>
      <c r="P208" s="908">
        <f t="shared" si="79"/>
        <v>0</v>
      </c>
      <c r="Q208" s="908">
        <f t="shared" si="79"/>
        <v>3360000</v>
      </c>
      <c r="R208" s="1482">
        <f t="shared" si="59"/>
        <v>3360000</v>
      </c>
      <c r="S208" s="1455">
        <f t="shared" si="57"/>
        <v>0</v>
      </c>
      <c r="T208" s="1450">
        <f t="shared" si="72"/>
        <v>0</v>
      </c>
      <c r="U208" s="1450"/>
      <c r="V208" s="1450">
        <f t="shared" si="68"/>
        <v>0</v>
      </c>
      <c r="W208" s="1459"/>
      <c r="X208" s="1459"/>
      <c r="Y208" s="1459"/>
      <c r="Z208" s="1459"/>
      <c r="AA208" s="1459"/>
      <c r="AB208" s="1459"/>
      <c r="AC208" s="1459"/>
      <c r="AD208" s="1459"/>
      <c r="AE208" s="1459"/>
      <c r="AF208" s="1459"/>
      <c r="AG208" s="1459"/>
      <c r="AH208" s="1459"/>
      <c r="AI208" s="1459"/>
      <c r="AJ208" s="1459"/>
      <c r="AK208" s="1459"/>
      <c r="AL208" s="1459"/>
      <c r="AM208" s="1459"/>
      <c r="AN208" s="1459"/>
      <c r="AO208" s="1459"/>
      <c r="AP208" s="1459"/>
      <c r="AQ208" s="1459"/>
      <c r="AR208" s="1459"/>
      <c r="AS208" s="1459"/>
      <c r="AT208" s="1459"/>
      <c r="AU208" s="1459"/>
    </row>
    <row r="209" spans="1:47" s="1036" customFormat="1" ht="63">
      <c r="A209" s="1033" t="s">
        <v>576</v>
      </c>
      <c r="B209" s="1033"/>
      <c r="C209" s="1033"/>
      <c r="D209" s="1024" t="s">
        <v>50</v>
      </c>
      <c r="E209" s="908">
        <f>SUM(E210:E212)</f>
        <v>3360000</v>
      </c>
      <c r="F209" s="908">
        <f t="shared" ref="F209:Q209" si="80">SUM(F210:F212)</f>
        <v>3360000</v>
      </c>
      <c r="G209" s="908">
        <f t="shared" si="80"/>
        <v>0</v>
      </c>
      <c r="H209" s="908">
        <f t="shared" si="80"/>
        <v>18000</v>
      </c>
      <c r="I209" s="908">
        <f t="shared" si="80"/>
        <v>0</v>
      </c>
      <c r="J209" s="908">
        <f t="shared" si="80"/>
        <v>0</v>
      </c>
      <c r="K209" s="908">
        <f t="shared" si="80"/>
        <v>0</v>
      </c>
      <c r="L209" s="908">
        <f t="shared" si="80"/>
        <v>0</v>
      </c>
      <c r="M209" s="908">
        <f t="shared" si="80"/>
        <v>0</v>
      </c>
      <c r="N209" s="908">
        <f t="shared" si="80"/>
        <v>0</v>
      </c>
      <c r="O209" s="908">
        <f t="shared" si="80"/>
        <v>0</v>
      </c>
      <c r="P209" s="908">
        <f t="shared" si="80"/>
        <v>0</v>
      </c>
      <c r="Q209" s="908">
        <f t="shared" si="80"/>
        <v>3360000</v>
      </c>
      <c r="R209" s="1482">
        <f t="shared" ref="R209:R255" si="81">+E209+J209</f>
        <v>3360000</v>
      </c>
      <c r="S209" s="1455">
        <f t="shared" si="57"/>
        <v>0</v>
      </c>
      <c r="T209" s="1450">
        <f t="shared" si="72"/>
        <v>0</v>
      </c>
      <c r="U209" s="1450"/>
      <c r="V209" s="1450">
        <f t="shared" si="68"/>
        <v>0</v>
      </c>
      <c r="W209" s="1459"/>
      <c r="X209" s="1459"/>
      <c r="Y209" s="1459"/>
      <c r="Z209" s="1459"/>
      <c r="AA209" s="1459"/>
      <c r="AB209" s="1459"/>
      <c r="AC209" s="1459"/>
      <c r="AD209" s="1459"/>
      <c r="AE209" s="1459"/>
      <c r="AF209" s="1459"/>
      <c r="AG209" s="1459"/>
      <c r="AH209" s="1459"/>
      <c r="AI209" s="1459"/>
      <c r="AJ209" s="1459"/>
      <c r="AK209" s="1459"/>
      <c r="AL209" s="1459"/>
      <c r="AM209" s="1459"/>
      <c r="AN209" s="1459"/>
      <c r="AO209" s="1459"/>
      <c r="AP209" s="1459"/>
      <c r="AQ209" s="1459"/>
      <c r="AR209" s="1459"/>
      <c r="AS209" s="1459"/>
      <c r="AT209" s="1459"/>
      <c r="AU209" s="1459"/>
    </row>
    <row r="210" spans="1:47" ht="31.5">
      <c r="A210" s="1015" t="s">
        <v>754</v>
      </c>
      <c r="B210" s="1015" t="s">
        <v>7</v>
      </c>
      <c r="C210" s="1015" t="s">
        <v>10</v>
      </c>
      <c r="D210" s="1016" t="s">
        <v>399</v>
      </c>
      <c r="E210" s="1013">
        <f>F210+I210</f>
        <v>3360000</v>
      </c>
      <c r="F210" s="1013">
        <v>3360000</v>
      </c>
      <c r="G210" s="1013"/>
      <c r="H210" s="1013">
        <v>18000</v>
      </c>
      <c r="I210" s="1013"/>
      <c r="J210" s="1013">
        <f>+K210+N210</f>
        <v>0</v>
      </c>
      <c r="K210" s="1013"/>
      <c r="L210" s="1013"/>
      <c r="M210" s="1013"/>
      <c r="N210" s="1013"/>
      <c r="O210" s="1013"/>
      <c r="P210" s="1013"/>
      <c r="Q210" s="1013">
        <f>+J210+E210</f>
        <v>3360000</v>
      </c>
      <c r="R210" s="1482">
        <f t="shared" si="81"/>
        <v>3360000</v>
      </c>
      <c r="S210" s="1455">
        <f t="shared" si="57"/>
        <v>0</v>
      </c>
      <c r="T210" s="1450">
        <f t="shared" si="72"/>
        <v>0</v>
      </c>
      <c r="U210" s="1450"/>
      <c r="V210" s="1450">
        <f t="shared" si="68"/>
        <v>0</v>
      </c>
      <c r="W210" s="1449"/>
      <c r="X210" s="1449"/>
      <c r="Y210" s="1449"/>
      <c r="Z210" s="1449"/>
      <c r="AA210" s="1449"/>
      <c r="AB210" s="1449"/>
      <c r="AC210" s="1449"/>
      <c r="AD210" s="1449"/>
      <c r="AE210" s="1449"/>
      <c r="AF210" s="1449"/>
      <c r="AG210" s="1449"/>
      <c r="AH210" s="1449"/>
      <c r="AI210" s="1449"/>
      <c r="AJ210" s="1449"/>
      <c r="AK210" s="1449"/>
      <c r="AL210" s="1449"/>
      <c r="AM210" s="1449"/>
      <c r="AN210" s="1449"/>
      <c r="AO210" s="1449"/>
      <c r="AP210" s="1449"/>
      <c r="AQ210" s="1449"/>
      <c r="AR210" s="1449"/>
      <c r="AS210" s="1449"/>
      <c r="AT210" s="1449"/>
      <c r="AU210" s="1449"/>
    </row>
    <row r="211" spans="1:47" s="299" customFormat="1" ht="78" hidden="1" customHeight="1">
      <c r="A211" s="293" t="s">
        <v>577</v>
      </c>
      <c r="B211" s="293" t="s">
        <v>578</v>
      </c>
      <c r="C211" s="293" t="s">
        <v>163</v>
      </c>
      <c r="D211" s="45" t="s">
        <v>786</v>
      </c>
      <c r="E211" s="319">
        <f>F211+I211</f>
        <v>0</v>
      </c>
      <c r="F211" s="319"/>
      <c r="G211" s="319"/>
      <c r="H211" s="319"/>
      <c r="I211" s="319"/>
      <c r="J211" s="319">
        <f>+K211+N211</f>
        <v>0</v>
      </c>
      <c r="K211" s="319"/>
      <c r="L211" s="319"/>
      <c r="M211" s="319"/>
      <c r="N211" s="319"/>
      <c r="O211" s="319"/>
      <c r="P211" s="319"/>
      <c r="Q211" s="319">
        <f>+J211+E211</f>
        <v>0</v>
      </c>
      <c r="R211" s="1005">
        <f t="shared" si="81"/>
        <v>0</v>
      </c>
      <c r="S211" s="284">
        <f t="shared" si="57"/>
        <v>0</v>
      </c>
      <c r="T211" s="1006">
        <f t="shared" si="72"/>
        <v>0</v>
      </c>
      <c r="U211" s="536"/>
      <c r="V211" s="536">
        <f t="shared" si="68"/>
        <v>0</v>
      </c>
    </row>
    <row r="212" spans="1:47" s="299" customFormat="1" ht="46.9" hidden="1" customHeight="1">
      <c r="A212" s="293" t="s">
        <v>775</v>
      </c>
      <c r="B212" s="293" t="s">
        <v>776</v>
      </c>
      <c r="C212" s="293" t="s">
        <v>5</v>
      </c>
      <c r="D212" s="45" t="s">
        <v>387</v>
      </c>
      <c r="E212" s="445">
        <f>F212+I212</f>
        <v>0</v>
      </c>
      <c r="F212" s="445"/>
      <c r="G212" s="47"/>
      <c r="H212" s="47"/>
      <c r="I212" s="319"/>
      <c r="J212" s="319">
        <f>+K212+N212</f>
        <v>0</v>
      </c>
      <c r="K212" s="319"/>
      <c r="L212" s="319"/>
      <c r="M212" s="319"/>
      <c r="N212" s="319"/>
      <c r="O212" s="319"/>
      <c r="P212" s="319"/>
      <c r="Q212" s="319">
        <f>+J212+E212</f>
        <v>0</v>
      </c>
      <c r="R212" s="1005">
        <f t="shared" si="81"/>
        <v>0</v>
      </c>
      <c r="S212" s="284">
        <f t="shared" si="57"/>
        <v>0</v>
      </c>
      <c r="T212" s="1006">
        <f t="shared" si="72"/>
        <v>0</v>
      </c>
      <c r="U212" s="536"/>
      <c r="V212" s="536">
        <f t="shared" si="68"/>
        <v>0</v>
      </c>
    </row>
    <row r="213" spans="1:47" s="290" customFormat="1" ht="46.9" hidden="1" customHeight="1">
      <c r="A213" s="287" t="s">
        <v>173</v>
      </c>
      <c r="B213" s="287"/>
      <c r="C213" s="287"/>
      <c r="D213" s="286" t="s">
        <v>49</v>
      </c>
      <c r="E213" s="309">
        <f>SUBTOTAL(9,E215:E216)</f>
        <v>0</v>
      </c>
      <c r="F213" s="309">
        <f t="shared" ref="F213:P213" si="82">SUBTOTAL(9,F215:F216)</f>
        <v>0</v>
      </c>
      <c r="G213" s="309">
        <f t="shared" si="82"/>
        <v>0</v>
      </c>
      <c r="H213" s="309">
        <f t="shared" si="82"/>
        <v>0</v>
      </c>
      <c r="I213" s="309">
        <f t="shared" si="82"/>
        <v>0</v>
      </c>
      <c r="J213" s="309">
        <f t="shared" si="82"/>
        <v>0</v>
      </c>
      <c r="K213" s="309">
        <f t="shared" si="82"/>
        <v>0</v>
      </c>
      <c r="L213" s="309">
        <f t="shared" si="82"/>
        <v>0</v>
      </c>
      <c r="M213" s="309">
        <f t="shared" si="82"/>
        <v>0</v>
      </c>
      <c r="N213" s="309">
        <f t="shared" si="82"/>
        <v>0</v>
      </c>
      <c r="O213" s="309">
        <f t="shared" si="82"/>
        <v>0</v>
      </c>
      <c r="P213" s="309">
        <f t="shared" si="82"/>
        <v>0</v>
      </c>
      <c r="Q213" s="309">
        <f>SUBTOTAL(9,Q215:Q216)</f>
        <v>0</v>
      </c>
      <c r="R213" s="1005">
        <f t="shared" si="81"/>
        <v>0</v>
      </c>
      <c r="S213" s="284">
        <f t="shared" si="57"/>
        <v>0</v>
      </c>
      <c r="T213" s="1006">
        <f t="shared" si="72"/>
        <v>0</v>
      </c>
      <c r="U213" s="536"/>
      <c r="V213" s="536">
        <f t="shared" si="68"/>
        <v>0</v>
      </c>
    </row>
    <row r="214" spans="1:47" s="289" customFormat="1" ht="46.9" hidden="1" customHeight="1">
      <c r="A214" s="287" t="s">
        <v>174</v>
      </c>
      <c r="B214" s="288"/>
      <c r="C214" s="288"/>
      <c r="D214" s="286" t="s">
        <v>49</v>
      </c>
      <c r="E214" s="309">
        <f>E215+E216</f>
        <v>0</v>
      </c>
      <c r="F214" s="309">
        <f t="shared" ref="F214:P214" si="83">F215+F216</f>
        <v>0</v>
      </c>
      <c r="G214" s="309">
        <f t="shared" si="83"/>
        <v>0</v>
      </c>
      <c r="H214" s="309">
        <f t="shared" si="83"/>
        <v>0</v>
      </c>
      <c r="I214" s="309">
        <f t="shared" si="83"/>
        <v>0</v>
      </c>
      <c r="J214" s="309">
        <f t="shared" si="83"/>
        <v>0</v>
      </c>
      <c r="K214" s="309">
        <f t="shared" si="83"/>
        <v>0</v>
      </c>
      <c r="L214" s="309">
        <f t="shared" si="83"/>
        <v>0</v>
      </c>
      <c r="M214" s="309">
        <f t="shared" si="83"/>
        <v>0</v>
      </c>
      <c r="N214" s="309">
        <f t="shared" si="83"/>
        <v>0</v>
      </c>
      <c r="O214" s="309">
        <f t="shared" si="83"/>
        <v>0</v>
      </c>
      <c r="P214" s="309">
        <f t="shared" si="83"/>
        <v>0</v>
      </c>
      <c r="Q214" s="309">
        <f>Q215+Q216</f>
        <v>0</v>
      </c>
      <c r="R214" s="1005">
        <f t="shared" si="81"/>
        <v>0</v>
      </c>
      <c r="S214" s="284">
        <f t="shared" si="57"/>
        <v>0</v>
      </c>
      <c r="T214" s="1006">
        <f t="shared" si="72"/>
        <v>0</v>
      </c>
      <c r="U214" s="536"/>
      <c r="V214" s="536">
        <f t="shared" si="68"/>
        <v>0</v>
      </c>
    </row>
    <row r="215" spans="1:47" s="24" customFormat="1" ht="31.15" hidden="1" customHeight="1">
      <c r="A215" s="42" t="s">
        <v>579</v>
      </c>
      <c r="B215" s="42" t="s">
        <v>580</v>
      </c>
      <c r="C215" s="42" t="s">
        <v>372</v>
      </c>
      <c r="D215" s="41" t="s">
        <v>581</v>
      </c>
      <c r="E215" s="316"/>
      <c r="F215" s="316"/>
      <c r="G215" s="316"/>
      <c r="H215" s="316"/>
      <c r="I215" s="330"/>
      <c r="J215" s="316">
        <f>+K215+N215</f>
        <v>0</v>
      </c>
      <c r="K215" s="329"/>
      <c r="L215" s="323"/>
      <c r="M215" s="323"/>
      <c r="N215" s="316"/>
      <c r="O215" s="323"/>
      <c r="P215" s="323"/>
      <c r="Q215" s="316">
        <f>+J215+E215</f>
        <v>0</v>
      </c>
      <c r="R215" s="1005">
        <f t="shared" si="81"/>
        <v>0</v>
      </c>
      <c r="S215" s="284">
        <f t="shared" si="57"/>
        <v>0</v>
      </c>
      <c r="T215" s="1006">
        <f t="shared" si="72"/>
        <v>0</v>
      </c>
      <c r="U215" s="536"/>
      <c r="V215" s="536">
        <f t="shared" si="68"/>
        <v>0</v>
      </c>
    </row>
    <row r="216" spans="1:47" s="87" customFormat="1" ht="46.9" hidden="1" customHeight="1">
      <c r="A216" s="42" t="s">
        <v>582</v>
      </c>
      <c r="B216" s="42" t="s">
        <v>583</v>
      </c>
      <c r="C216" s="42" t="s">
        <v>372</v>
      </c>
      <c r="D216" s="41" t="s">
        <v>584</v>
      </c>
      <c r="E216" s="316">
        <f>F216+I216</f>
        <v>0</v>
      </c>
      <c r="F216" s="316"/>
      <c r="G216" s="316"/>
      <c r="H216" s="316"/>
      <c r="I216" s="316"/>
      <c r="J216" s="316">
        <f>+K216+N216</f>
        <v>0</v>
      </c>
      <c r="K216" s="329"/>
      <c r="L216" s="323"/>
      <c r="M216" s="323"/>
      <c r="N216" s="316"/>
      <c r="O216" s="323"/>
      <c r="P216" s="323"/>
      <c r="Q216" s="316">
        <f>+J216+E216</f>
        <v>0</v>
      </c>
      <c r="R216" s="1481">
        <f t="shared" si="81"/>
        <v>0</v>
      </c>
      <c r="S216" s="284">
        <f t="shared" ref="S216:S252" si="84">R216-Q216</f>
        <v>0</v>
      </c>
      <c r="T216" s="1006">
        <f t="shared" si="72"/>
        <v>0</v>
      </c>
      <c r="U216" s="536"/>
      <c r="V216" s="536">
        <f t="shared" si="68"/>
        <v>0</v>
      </c>
    </row>
    <row r="217" spans="1:47" s="1036" customFormat="1" ht="63">
      <c r="A217" s="1033" t="s">
        <v>585</v>
      </c>
      <c r="B217" s="1033"/>
      <c r="C217" s="1033"/>
      <c r="D217" s="1024" t="s">
        <v>897</v>
      </c>
      <c r="E217" s="908">
        <f>E222+E223+E220+E221+E219</f>
        <v>10918800</v>
      </c>
      <c r="F217" s="908">
        <f t="shared" ref="F217:Q217" si="85">F222+F223+F220+F221+F219</f>
        <v>10918800</v>
      </c>
      <c r="G217" s="908">
        <f t="shared" si="85"/>
        <v>0</v>
      </c>
      <c r="H217" s="908">
        <f t="shared" si="85"/>
        <v>0</v>
      </c>
      <c r="I217" s="908">
        <f t="shared" si="85"/>
        <v>0</v>
      </c>
      <c r="J217" s="908">
        <f t="shared" si="85"/>
        <v>80000</v>
      </c>
      <c r="K217" s="908">
        <f t="shared" si="85"/>
        <v>0</v>
      </c>
      <c r="L217" s="908">
        <f t="shared" si="85"/>
        <v>0</v>
      </c>
      <c r="M217" s="908">
        <f t="shared" si="85"/>
        <v>0</v>
      </c>
      <c r="N217" s="908">
        <f t="shared" si="85"/>
        <v>80000</v>
      </c>
      <c r="O217" s="908">
        <f t="shared" si="85"/>
        <v>80000</v>
      </c>
      <c r="P217" s="908">
        <f t="shared" si="85"/>
        <v>80000</v>
      </c>
      <c r="Q217" s="908">
        <f t="shared" si="85"/>
        <v>10998800</v>
      </c>
      <c r="R217" s="1482">
        <f t="shared" si="81"/>
        <v>10998800</v>
      </c>
      <c r="S217" s="1455">
        <f t="shared" si="84"/>
        <v>0</v>
      </c>
      <c r="T217" s="1450">
        <f t="shared" si="72"/>
        <v>0</v>
      </c>
      <c r="U217" s="1450"/>
      <c r="V217" s="1450">
        <f t="shared" si="68"/>
        <v>0</v>
      </c>
      <c r="W217" s="1459"/>
      <c r="X217" s="1459"/>
      <c r="Y217" s="1459"/>
      <c r="Z217" s="1459"/>
      <c r="AA217" s="1459"/>
      <c r="AB217" s="1459"/>
      <c r="AC217" s="1459"/>
      <c r="AD217" s="1459"/>
      <c r="AE217" s="1459"/>
      <c r="AF217" s="1459"/>
      <c r="AG217" s="1459"/>
      <c r="AH217" s="1459"/>
      <c r="AI217" s="1459"/>
      <c r="AJ217" s="1459"/>
      <c r="AK217" s="1459"/>
      <c r="AL217" s="1459"/>
      <c r="AM217" s="1459"/>
      <c r="AN217" s="1459"/>
      <c r="AO217" s="1459"/>
      <c r="AP217" s="1459"/>
      <c r="AQ217" s="1459"/>
      <c r="AR217" s="1459"/>
      <c r="AS217" s="1459"/>
      <c r="AT217" s="1459"/>
      <c r="AU217" s="1459"/>
    </row>
    <row r="218" spans="1:47" s="1065" customFormat="1" ht="63">
      <c r="A218" s="1033" t="s">
        <v>586</v>
      </c>
      <c r="B218" s="1033"/>
      <c r="C218" s="1033"/>
      <c r="D218" s="1024" t="s">
        <v>897</v>
      </c>
      <c r="E218" s="908">
        <f>SUM(E219:E223)</f>
        <v>10918800</v>
      </c>
      <c r="F218" s="908">
        <f t="shared" ref="F218:Q218" si="86">SUM(F219:F223)</f>
        <v>10918800</v>
      </c>
      <c r="G218" s="908">
        <f t="shared" si="86"/>
        <v>0</v>
      </c>
      <c r="H218" s="908">
        <f t="shared" si="86"/>
        <v>0</v>
      </c>
      <c r="I218" s="908">
        <f t="shared" si="86"/>
        <v>0</v>
      </c>
      <c r="J218" s="908">
        <f t="shared" si="86"/>
        <v>80000</v>
      </c>
      <c r="K218" s="908">
        <f t="shared" si="86"/>
        <v>0</v>
      </c>
      <c r="L218" s="908">
        <f t="shared" si="86"/>
        <v>0</v>
      </c>
      <c r="M218" s="908">
        <f t="shared" si="86"/>
        <v>0</v>
      </c>
      <c r="N218" s="908">
        <f t="shared" si="86"/>
        <v>80000</v>
      </c>
      <c r="O218" s="908">
        <f t="shared" si="86"/>
        <v>80000</v>
      </c>
      <c r="P218" s="908">
        <f t="shared" si="86"/>
        <v>80000</v>
      </c>
      <c r="Q218" s="908">
        <f t="shared" si="86"/>
        <v>10998800</v>
      </c>
      <c r="R218" s="1482">
        <f t="shared" si="81"/>
        <v>10998800</v>
      </c>
      <c r="S218" s="1455">
        <f t="shared" si="84"/>
        <v>0</v>
      </c>
      <c r="T218" s="1450">
        <f t="shared" si="72"/>
        <v>0</v>
      </c>
      <c r="U218" s="1450"/>
      <c r="V218" s="1450">
        <f t="shared" si="68"/>
        <v>0</v>
      </c>
      <c r="W218" s="1472"/>
      <c r="X218" s="1472"/>
      <c r="Y218" s="1472"/>
      <c r="Z218" s="1472"/>
      <c r="AA218" s="1472"/>
      <c r="AB218" s="1472"/>
      <c r="AC218" s="1472"/>
      <c r="AD218" s="1472"/>
      <c r="AE218" s="1472"/>
      <c r="AF218" s="1472"/>
      <c r="AG218" s="1472"/>
      <c r="AH218" s="1472"/>
      <c r="AI218" s="1472"/>
      <c r="AJ218" s="1472"/>
      <c r="AK218" s="1472"/>
      <c r="AL218" s="1472"/>
      <c r="AM218" s="1472"/>
      <c r="AN218" s="1472"/>
      <c r="AO218" s="1472"/>
      <c r="AP218" s="1472"/>
      <c r="AQ218" s="1472"/>
      <c r="AR218" s="1472"/>
      <c r="AS218" s="1472"/>
      <c r="AT218" s="1472"/>
      <c r="AU218" s="1472"/>
    </row>
    <row r="219" spans="1:47" s="992" customFormat="1" ht="31.5">
      <c r="A219" s="1015" t="s">
        <v>902</v>
      </c>
      <c r="B219" s="1015" t="s">
        <v>580</v>
      </c>
      <c r="C219" s="1015" t="s">
        <v>372</v>
      </c>
      <c r="D219" s="1022" t="s">
        <v>581</v>
      </c>
      <c r="E219" s="1013">
        <f>F219+I219</f>
        <v>6150000</v>
      </c>
      <c r="F219" s="1013">
        <v>6150000</v>
      </c>
      <c r="G219" s="1013"/>
      <c r="H219" s="1013"/>
      <c r="I219" s="1013"/>
      <c r="J219" s="1013">
        <f>+K219+N219</f>
        <v>0</v>
      </c>
      <c r="K219" s="1031"/>
      <c r="L219" s="1032"/>
      <c r="M219" s="1032"/>
      <c r="N219" s="1013"/>
      <c r="O219" s="1032"/>
      <c r="P219" s="1032"/>
      <c r="Q219" s="1013">
        <f>+J219+E219</f>
        <v>6150000</v>
      </c>
      <c r="R219" s="1482">
        <f t="shared" si="81"/>
        <v>6150000</v>
      </c>
      <c r="S219" s="1455">
        <f t="shared" si="84"/>
        <v>0</v>
      </c>
      <c r="T219" s="1450">
        <f t="shared" si="72"/>
        <v>0</v>
      </c>
      <c r="U219" s="1450"/>
      <c r="V219" s="1450">
        <f t="shared" si="68"/>
        <v>0</v>
      </c>
      <c r="W219" s="1448"/>
      <c r="X219" s="1448"/>
      <c r="Y219" s="1448"/>
      <c r="Z219" s="1448"/>
      <c r="AA219" s="1448"/>
      <c r="AB219" s="1448"/>
      <c r="AC219" s="1448"/>
      <c r="AD219" s="1448"/>
      <c r="AE219" s="1448"/>
      <c r="AF219" s="1448"/>
      <c r="AG219" s="1448"/>
      <c r="AH219" s="1448"/>
      <c r="AI219" s="1448"/>
      <c r="AJ219" s="1448"/>
      <c r="AK219" s="1448"/>
      <c r="AL219" s="1448"/>
      <c r="AM219" s="1448"/>
      <c r="AN219" s="1448"/>
      <c r="AO219" s="1448"/>
      <c r="AP219" s="1448"/>
      <c r="AQ219" s="1448"/>
      <c r="AR219" s="1448"/>
      <c r="AS219" s="1448"/>
      <c r="AT219" s="1448"/>
      <c r="AU219" s="1448"/>
    </row>
    <row r="220" spans="1:47" s="1065" customFormat="1" ht="46.9" hidden="1" customHeight="1">
      <c r="A220" s="1015" t="s">
        <v>755</v>
      </c>
      <c r="B220" s="1015" t="s">
        <v>756</v>
      </c>
      <c r="C220" s="1015" t="s">
        <v>521</v>
      </c>
      <c r="D220" s="1022" t="s">
        <v>757</v>
      </c>
      <c r="E220" s="1013">
        <f>F220+I220</f>
        <v>0</v>
      </c>
      <c r="F220" s="1013"/>
      <c r="G220" s="1013"/>
      <c r="H220" s="1013"/>
      <c r="I220" s="1013"/>
      <c r="J220" s="1013">
        <f>+K220+N220</f>
        <v>0</v>
      </c>
      <c r="K220" s="1031"/>
      <c r="L220" s="1032"/>
      <c r="M220" s="1032"/>
      <c r="N220" s="1013"/>
      <c r="O220" s="1032"/>
      <c r="P220" s="1032"/>
      <c r="Q220" s="1013">
        <f>+J220+E220</f>
        <v>0</v>
      </c>
      <c r="R220" s="1481">
        <f t="shared" si="81"/>
        <v>0</v>
      </c>
      <c r="S220" s="1035">
        <f t="shared" si="84"/>
        <v>0</v>
      </c>
      <c r="T220" s="1006">
        <f t="shared" si="72"/>
        <v>0</v>
      </c>
      <c r="U220" s="1006"/>
      <c r="V220" s="1006">
        <f t="shared" si="68"/>
        <v>0</v>
      </c>
    </row>
    <row r="221" spans="1:47" s="1065" customFormat="1" ht="31.5">
      <c r="A221" s="1015" t="s">
        <v>816</v>
      </c>
      <c r="B221" s="1015" t="s">
        <v>749</v>
      </c>
      <c r="C221" s="1015" t="s">
        <v>278</v>
      </c>
      <c r="D221" s="1022" t="s">
        <v>750</v>
      </c>
      <c r="E221" s="1013">
        <f>F221+I221</f>
        <v>818800</v>
      </c>
      <c r="F221" s="1013">
        <f>400000+418800</f>
        <v>818800</v>
      </c>
      <c r="G221" s="1013"/>
      <c r="H221" s="1013"/>
      <c r="I221" s="1013"/>
      <c r="J221" s="1013">
        <f>+K221+N221</f>
        <v>0</v>
      </c>
      <c r="K221" s="1031"/>
      <c r="L221" s="1032"/>
      <c r="M221" s="1032"/>
      <c r="N221" s="1013"/>
      <c r="O221" s="1032"/>
      <c r="P221" s="1032"/>
      <c r="Q221" s="1013">
        <f>+J221+E221</f>
        <v>818800</v>
      </c>
      <c r="R221" s="1482">
        <f t="shared" si="81"/>
        <v>818800</v>
      </c>
      <c r="S221" s="1455">
        <f t="shared" si="84"/>
        <v>0</v>
      </c>
      <c r="T221" s="1450">
        <f t="shared" si="72"/>
        <v>0</v>
      </c>
      <c r="U221" s="1450"/>
      <c r="V221" s="1450">
        <f t="shared" si="68"/>
        <v>0</v>
      </c>
      <c r="W221" s="1472"/>
      <c r="X221" s="1472"/>
      <c r="Y221" s="1472"/>
      <c r="Z221" s="1472"/>
      <c r="AA221" s="1472"/>
      <c r="AB221" s="1472"/>
      <c r="AC221" s="1472"/>
      <c r="AD221" s="1472"/>
      <c r="AE221" s="1472"/>
      <c r="AF221" s="1472"/>
      <c r="AG221" s="1472"/>
      <c r="AH221" s="1472"/>
      <c r="AI221" s="1472"/>
      <c r="AJ221" s="1472"/>
      <c r="AK221" s="1472"/>
      <c r="AL221" s="1472"/>
      <c r="AM221" s="1472"/>
      <c r="AN221" s="1472"/>
      <c r="AO221" s="1472"/>
      <c r="AP221" s="1472"/>
      <c r="AQ221" s="1472"/>
      <c r="AR221" s="1472"/>
      <c r="AS221" s="1472"/>
      <c r="AT221" s="1472"/>
      <c r="AU221" s="1472"/>
    </row>
    <row r="222" spans="1:47" s="1066" customFormat="1" ht="31.5">
      <c r="A222" s="1015" t="s">
        <v>587</v>
      </c>
      <c r="B222" s="1015" t="s">
        <v>148</v>
      </c>
      <c r="C222" s="1015" t="s">
        <v>378</v>
      </c>
      <c r="D222" s="1022" t="s">
        <v>228</v>
      </c>
      <c r="E222" s="1013">
        <f>F222+I222</f>
        <v>3000000</v>
      </c>
      <c r="F222" s="1013">
        <v>3000000</v>
      </c>
      <c r="G222" s="1013"/>
      <c r="H222" s="1013"/>
      <c r="I222" s="1013"/>
      <c r="J222" s="1013">
        <f>+K222+N222</f>
        <v>0</v>
      </c>
      <c r="K222" s="1031"/>
      <c r="L222" s="1032"/>
      <c r="M222" s="1032"/>
      <c r="N222" s="1013"/>
      <c r="O222" s="1032"/>
      <c r="P222" s="1032"/>
      <c r="Q222" s="1013">
        <f>+J222+E222</f>
        <v>3000000</v>
      </c>
      <c r="R222" s="1482">
        <f t="shared" si="81"/>
        <v>3000000</v>
      </c>
      <c r="S222" s="1455">
        <f t="shared" si="84"/>
        <v>0</v>
      </c>
      <c r="T222" s="1450">
        <f t="shared" si="72"/>
        <v>0</v>
      </c>
      <c r="U222" s="1450"/>
      <c r="V222" s="1450">
        <f t="shared" si="68"/>
        <v>0</v>
      </c>
      <c r="W222" s="1473"/>
      <c r="X222" s="1473"/>
      <c r="Y222" s="1473"/>
      <c r="Z222" s="1473"/>
      <c r="AA222" s="1473"/>
      <c r="AB222" s="1473"/>
      <c r="AC222" s="1473"/>
      <c r="AD222" s="1473"/>
      <c r="AE222" s="1473"/>
      <c r="AF222" s="1473"/>
      <c r="AG222" s="1473"/>
      <c r="AH222" s="1473"/>
      <c r="AI222" s="1473"/>
      <c r="AJ222" s="1473"/>
      <c r="AK222" s="1473"/>
      <c r="AL222" s="1473"/>
      <c r="AM222" s="1473"/>
      <c r="AN222" s="1473"/>
      <c r="AO222" s="1473"/>
      <c r="AP222" s="1473"/>
      <c r="AQ222" s="1473"/>
      <c r="AR222" s="1473"/>
      <c r="AS222" s="1473"/>
      <c r="AT222" s="1473"/>
      <c r="AU222" s="1473"/>
    </row>
    <row r="223" spans="1:47" s="1068" customFormat="1" ht="31.5">
      <c r="A223" s="1017" t="s">
        <v>588</v>
      </c>
      <c r="B223" s="1017" t="s">
        <v>589</v>
      </c>
      <c r="C223" s="1017" t="s">
        <v>278</v>
      </c>
      <c r="D223" s="1018" t="s">
        <v>149</v>
      </c>
      <c r="E223" s="1020">
        <f>F223+I223</f>
        <v>950000</v>
      </c>
      <c r="F223" s="1020">
        <f>900000+50000</f>
        <v>950000</v>
      </c>
      <c r="G223" s="1020"/>
      <c r="H223" s="1020"/>
      <c r="I223" s="1020"/>
      <c r="J223" s="1020">
        <f>+K223+N223</f>
        <v>80000</v>
      </c>
      <c r="K223" s="1067"/>
      <c r="L223" s="1040"/>
      <c r="M223" s="1040"/>
      <c r="N223" s="1020">
        <v>80000</v>
      </c>
      <c r="O223" s="1020">
        <v>80000</v>
      </c>
      <c r="P223" s="1020">
        <v>80000</v>
      </c>
      <c r="Q223" s="1020">
        <f>+J223+E223</f>
        <v>1030000</v>
      </c>
      <c r="R223" s="1482">
        <f t="shared" si="81"/>
        <v>1030000</v>
      </c>
      <c r="S223" s="1455">
        <f t="shared" si="84"/>
        <v>0</v>
      </c>
      <c r="T223" s="1450">
        <f t="shared" si="72"/>
        <v>0</v>
      </c>
      <c r="U223" s="1450"/>
      <c r="V223" s="1450">
        <f t="shared" si="68"/>
        <v>0</v>
      </c>
      <c r="W223" s="1474"/>
      <c r="X223" s="1474"/>
      <c r="Y223" s="1474"/>
      <c r="Z223" s="1474"/>
      <c r="AA223" s="1474"/>
      <c r="AB223" s="1474"/>
      <c r="AC223" s="1474"/>
      <c r="AD223" s="1474"/>
      <c r="AE223" s="1474"/>
      <c r="AF223" s="1474"/>
      <c r="AG223" s="1474"/>
      <c r="AH223" s="1474"/>
      <c r="AI223" s="1474"/>
      <c r="AJ223" s="1474"/>
      <c r="AK223" s="1474"/>
      <c r="AL223" s="1474"/>
      <c r="AM223" s="1474"/>
      <c r="AN223" s="1474"/>
      <c r="AO223" s="1474"/>
      <c r="AP223" s="1474"/>
      <c r="AQ223" s="1474"/>
      <c r="AR223" s="1474"/>
      <c r="AS223" s="1474"/>
      <c r="AT223" s="1474"/>
      <c r="AU223" s="1474"/>
    </row>
    <row r="224" spans="1:47" s="1069" customFormat="1" ht="47.25">
      <c r="A224" s="1033" t="s">
        <v>591</v>
      </c>
      <c r="B224" s="1033"/>
      <c r="C224" s="1033"/>
      <c r="D224" s="1024" t="s">
        <v>328</v>
      </c>
      <c r="E224" s="908">
        <f>E226+E227+E228+E229+E230</f>
        <v>0</v>
      </c>
      <c r="F224" s="908">
        <f t="shared" ref="F224:Q224" si="87">F226+F227+F228+F229+F230</f>
        <v>0</v>
      </c>
      <c r="G224" s="908">
        <f t="shared" si="87"/>
        <v>0</v>
      </c>
      <c r="H224" s="908">
        <f t="shared" si="87"/>
        <v>0</v>
      </c>
      <c r="I224" s="908">
        <f t="shared" si="87"/>
        <v>0</v>
      </c>
      <c r="J224" s="908">
        <f t="shared" si="87"/>
        <v>4896600</v>
      </c>
      <c r="K224" s="908">
        <f t="shared" si="87"/>
        <v>1364000</v>
      </c>
      <c r="L224" s="908">
        <f t="shared" si="87"/>
        <v>0</v>
      </c>
      <c r="M224" s="908">
        <f t="shared" si="87"/>
        <v>0</v>
      </c>
      <c r="N224" s="908">
        <f t="shared" si="87"/>
        <v>3532600</v>
      </c>
      <c r="O224" s="908">
        <f t="shared" si="87"/>
        <v>0</v>
      </c>
      <c r="P224" s="908">
        <f t="shared" si="87"/>
        <v>0</v>
      </c>
      <c r="Q224" s="908">
        <f t="shared" si="87"/>
        <v>4896600</v>
      </c>
      <c r="R224" s="1482">
        <f t="shared" si="81"/>
        <v>4896600</v>
      </c>
      <c r="S224" s="1455">
        <f t="shared" si="84"/>
        <v>0</v>
      </c>
      <c r="T224" s="1450">
        <f t="shared" si="72"/>
        <v>0</v>
      </c>
      <c r="U224" s="1450"/>
      <c r="V224" s="1450">
        <f t="shared" si="68"/>
        <v>-3532600</v>
      </c>
      <c r="W224" s="1475"/>
      <c r="X224" s="1475"/>
      <c r="Y224" s="1475"/>
      <c r="Z224" s="1475"/>
      <c r="AA224" s="1475"/>
      <c r="AB224" s="1475"/>
      <c r="AC224" s="1475"/>
      <c r="AD224" s="1475"/>
      <c r="AE224" s="1475"/>
      <c r="AF224" s="1475"/>
      <c r="AG224" s="1475"/>
      <c r="AH224" s="1475"/>
      <c r="AI224" s="1475"/>
      <c r="AJ224" s="1475"/>
      <c r="AK224" s="1475"/>
      <c r="AL224" s="1475"/>
      <c r="AM224" s="1475"/>
      <c r="AN224" s="1475"/>
      <c r="AO224" s="1475"/>
      <c r="AP224" s="1475"/>
      <c r="AQ224" s="1475"/>
      <c r="AR224" s="1475"/>
      <c r="AS224" s="1475"/>
      <c r="AT224" s="1475"/>
      <c r="AU224" s="1475"/>
    </row>
    <row r="225" spans="1:47" s="1071" customFormat="1" ht="47.25">
      <c r="A225" s="1033" t="s">
        <v>592</v>
      </c>
      <c r="B225" s="1070"/>
      <c r="C225" s="1070"/>
      <c r="D225" s="1024" t="s">
        <v>328</v>
      </c>
      <c r="E225" s="908">
        <f>SUM(E226:E230)</f>
        <v>0</v>
      </c>
      <c r="F225" s="908">
        <f t="shared" ref="F225:Q225" si="88">SUM(F226:F230)</f>
        <v>0</v>
      </c>
      <c r="G225" s="908">
        <f t="shared" si="88"/>
        <v>0</v>
      </c>
      <c r="H225" s="908">
        <f t="shared" si="88"/>
        <v>0</v>
      </c>
      <c r="I225" s="908">
        <f t="shared" si="88"/>
        <v>0</v>
      </c>
      <c r="J225" s="908">
        <f t="shared" si="88"/>
        <v>4896600</v>
      </c>
      <c r="K225" s="908">
        <f t="shared" si="88"/>
        <v>1364000</v>
      </c>
      <c r="L225" s="908">
        <f t="shared" si="88"/>
        <v>0</v>
      </c>
      <c r="M225" s="908">
        <f t="shared" si="88"/>
        <v>0</v>
      </c>
      <c r="N225" s="908">
        <f t="shared" si="88"/>
        <v>3532600</v>
      </c>
      <c r="O225" s="908">
        <f t="shared" si="88"/>
        <v>0</v>
      </c>
      <c r="P225" s="908">
        <f t="shared" si="88"/>
        <v>0</v>
      </c>
      <c r="Q225" s="908">
        <f t="shared" si="88"/>
        <v>4896600</v>
      </c>
      <c r="R225" s="1482">
        <f t="shared" si="81"/>
        <v>4896600</v>
      </c>
      <c r="S225" s="1455">
        <f t="shared" si="84"/>
        <v>0</v>
      </c>
      <c r="T225" s="1450">
        <f t="shared" si="72"/>
        <v>0</v>
      </c>
      <c r="U225" s="1450"/>
      <c r="V225" s="1450">
        <f t="shared" si="68"/>
        <v>-3532600</v>
      </c>
      <c r="W225" s="1476"/>
      <c r="X225" s="1476"/>
      <c r="Y225" s="1476"/>
      <c r="Z225" s="1476"/>
      <c r="AA225" s="1476"/>
      <c r="AB225" s="1476"/>
      <c r="AC225" s="1476"/>
      <c r="AD225" s="1476"/>
      <c r="AE225" s="1476"/>
      <c r="AF225" s="1476"/>
      <c r="AG225" s="1476"/>
      <c r="AH225" s="1476"/>
      <c r="AI225" s="1476"/>
      <c r="AJ225" s="1476"/>
      <c r="AK225" s="1476"/>
      <c r="AL225" s="1476"/>
      <c r="AM225" s="1476"/>
      <c r="AN225" s="1476"/>
      <c r="AO225" s="1476"/>
      <c r="AP225" s="1476"/>
      <c r="AQ225" s="1476"/>
      <c r="AR225" s="1476"/>
      <c r="AS225" s="1476"/>
      <c r="AT225" s="1476"/>
      <c r="AU225" s="1476"/>
    </row>
    <row r="226" spans="1:47" s="87" customFormat="1" ht="31.15" hidden="1" customHeight="1">
      <c r="A226" s="293" t="s">
        <v>593</v>
      </c>
      <c r="B226" s="293" t="s">
        <v>393</v>
      </c>
      <c r="C226" s="293" t="s">
        <v>6</v>
      </c>
      <c r="D226" s="45" t="s">
        <v>90</v>
      </c>
      <c r="E226" s="316">
        <f>F226+I226</f>
        <v>0</v>
      </c>
      <c r="F226" s="316"/>
      <c r="G226" s="316"/>
      <c r="H226" s="316"/>
      <c r="I226" s="316"/>
      <c r="J226" s="316">
        <f>+K226+N226</f>
        <v>0</v>
      </c>
      <c r="K226" s="329"/>
      <c r="L226" s="323"/>
      <c r="M226" s="323"/>
      <c r="N226" s="316"/>
      <c r="O226" s="323"/>
      <c r="P226" s="323"/>
      <c r="Q226" s="316">
        <f>+J226+E226</f>
        <v>0</v>
      </c>
      <c r="R226" s="1481">
        <f t="shared" si="81"/>
        <v>0</v>
      </c>
      <c r="S226" s="284">
        <f t="shared" si="84"/>
        <v>0</v>
      </c>
      <c r="T226" s="1006">
        <f t="shared" si="72"/>
        <v>0</v>
      </c>
      <c r="U226" s="536"/>
      <c r="V226" s="536">
        <f t="shared" si="68"/>
        <v>0</v>
      </c>
    </row>
    <row r="227" spans="1:47" s="294" customFormat="1" ht="15.6" customHeight="1">
      <c r="A227" s="293" t="s">
        <v>594</v>
      </c>
      <c r="B227" s="293" t="s">
        <v>573</v>
      </c>
      <c r="C227" s="293" t="s">
        <v>26</v>
      </c>
      <c r="D227" s="45" t="s">
        <v>91</v>
      </c>
      <c r="E227" s="319">
        <f>F227+I227</f>
        <v>0</v>
      </c>
      <c r="F227" s="319"/>
      <c r="G227" s="319"/>
      <c r="H227" s="319"/>
      <c r="I227" s="319"/>
      <c r="J227" s="319">
        <f>+K227+N227</f>
        <v>200000</v>
      </c>
      <c r="K227" s="444">
        <v>200000</v>
      </c>
      <c r="L227" s="322"/>
      <c r="M227" s="322"/>
      <c r="N227" s="319"/>
      <c r="O227" s="322"/>
      <c r="P227" s="322"/>
      <c r="Q227" s="319">
        <f>+J227+E227</f>
        <v>200000</v>
      </c>
      <c r="R227" s="1482">
        <f t="shared" si="81"/>
        <v>200000</v>
      </c>
      <c r="S227" s="1455">
        <f t="shared" si="84"/>
        <v>0</v>
      </c>
      <c r="T227" s="1450">
        <f t="shared" si="72"/>
        <v>0</v>
      </c>
      <c r="U227" s="1450"/>
      <c r="V227" s="1450">
        <f t="shared" si="68"/>
        <v>0</v>
      </c>
      <c r="W227" s="1456"/>
      <c r="X227" s="1456"/>
      <c r="Y227" s="1456"/>
      <c r="Z227" s="1456"/>
      <c r="AA227" s="1456"/>
      <c r="AB227" s="1456"/>
      <c r="AC227" s="1456"/>
      <c r="AD227" s="1456"/>
      <c r="AE227" s="1456"/>
      <c r="AF227" s="1456"/>
      <c r="AG227" s="1456"/>
      <c r="AH227" s="1456"/>
      <c r="AI227" s="1456"/>
      <c r="AJ227" s="1456"/>
      <c r="AK227" s="1456"/>
      <c r="AL227" s="1456"/>
      <c r="AM227" s="1456"/>
      <c r="AN227" s="1456"/>
      <c r="AO227" s="1456"/>
      <c r="AP227" s="1456"/>
      <c r="AQ227" s="1456"/>
      <c r="AR227" s="1456"/>
      <c r="AS227" s="1456"/>
      <c r="AT227" s="1456"/>
      <c r="AU227" s="1456"/>
    </row>
    <row r="228" spans="1:47" s="294" customFormat="1" ht="46.9" customHeight="1">
      <c r="A228" s="293" t="s">
        <v>595</v>
      </c>
      <c r="B228" s="293" t="s">
        <v>596</v>
      </c>
      <c r="C228" s="293" t="s">
        <v>375</v>
      </c>
      <c r="D228" s="45" t="s">
        <v>191</v>
      </c>
      <c r="E228" s="319">
        <f>F228+I228</f>
        <v>0</v>
      </c>
      <c r="F228" s="319"/>
      <c r="G228" s="319"/>
      <c r="H228" s="319"/>
      <c r="I228" s="319"/>
      <c r="J228" s="319">
        <f>+K228+N228</f>
        <v>1528600</v>
      </c>
      <c r="K228" s="444">
        <v>300000</v>
      </c>
      <c r="L228" s="322"/>
      <c r="M228" s="322"/>
      <c r="N228" s="319">
        <v>1228600</v>
      </c>
      <c r="O228" s="322"/>
      <c r="P228" s="322"/>
      <c r="Q228" s="319">
        <f>+J228+E228</f>
        <v>1528600</v>
      </c>
      <c r="R228" s="1482">
        <f t="shared" si="81"/>
        <v>1528600</v>
      </c>
      <c r="S228" s="1455">
        <f t="shared" si="84"/>
        <v>0</v>
      </c>
      <c r="T228" s="1450">
        <f t="shared" si="72"/>
        <v>0</v>
      </c>
      <c r="U228" s="1450"/>
      <c r="V228" s="1450">
        <f t="shared" si="68"/>
        <v>-1228600</v>
      </c>
      <c r="W228" s="1456"/>
      <c r="X228" s="1456"/>
      <c r="Y228" s="1456"/>
      <c r="Z228" s="1456"/>
      <c r="AA228" s="1456"/>
      <c r="AB228" s="1456"/>
      <c r="AC228" s="1456"/>
      <c r="AD228" s="1456"/>
      <c r="AE228" s="1456"/>
      <c r="AF228" s="1456"/>
      <c r="AG228" s="1456"/>
      <c r="AH228" s="1456"/>
      <c r="AI228" s="1456"/>
      <c r="AJ228" s="1456"/>
      <c r="AK228" s="1456"/>
      <c r="AL228" s="1456"/>
      <c r="AM228" s="1456"/>
      <c r="AN228" s="1456"/>
      <c r="AO228" s="1456"/>
      <c r="AP228" s="1456"/>
      <c r="AQ228" s="1456"/>
      <c r="AR228" s="1456"/>
      <c r="AS228" s="1456"/>
      <c r="AT228" s="1456"/>
      <c r="AU228" s="1456"/>
    </row>
    <row r="229" spans="1:47" ht="31.5">
      <c r="A229" s="1015" t="s">
        <v>766</v>
      </c>
      <c r="B229" s="1015" t="s">
        <v>767</v>
      </c>
      <c r="C229" s="1015" t="s">
        <v>376</v>
      </c>
      <c r="D229" s="1022" t="s">
        <v>574</v>
      </c>
      <c r="E229" s="1020">
        <f>F229+I229</f>
        <v>0</v>
      </c>
      <c r="F229" s="1026"/>
      <c r="G229" s="1026"/>
      <c r="H229" s="1026"/>
      <c r="I229" s="1026"/>
      <c r="J229" s="1026">
        <f>+K229+N229</f>
        <v>960000</v>
      </c>
      <c r="K229" s="1072">
        <v>400000</v>
      </c>
      <c r="L229" s="1073"/>
      <c r="M229" s="1073"/>
      <c r="N229" s="1026">
        <f>200000+360000</f>
        <v>560000</v>
      </c>
      <c r="O229" s="1073"/>
      <c r="P229" s="1073"/>
      <c r="Q229" s="1026">
        <f>+J229+E229</f>
        <v>960000</v>
      </c>
      <c r="R229" s="1482">
        <f t="shared" si="81"/>
        <v>960000</v>
      </c>
      <c r="S229" s="1455">
        <f t="shared" si="84"/>
        <v>0</v>
      </c>
      <c r="T229" s="1450">
        <f t="shared" si="72"/>
        <v>0</v>
      </c>
      <c r="U229" s="1450"/>
      <c r="V229" s="1450">
        <f t="shared" si="68"/>
        <v>-560000</v>
      </c>
      <c r="W229" s="1449"/>
      <c r="X229" s="1449"/>
      <c r="Y229" s="1449"/>
      <c r="Z229" s="1449"/>
      <c r="AA229" s="1449"/>
      <c r="AB229" s="1449"/>
      <c r="AC229" s="1449"/>
      <c r="AD229" s="1449"/>
      <c r="AE229" s="1449"/>
      <c r="AF229" s="1449"/>
      <c r="AG229" s="1449"/>
      <c r="AH229" s="1449"/>
      <c r="AI229" s="1449"/>
      <c r="AJ229" s="1449"/>
      <c r="AK229" s="1449"/>
      <c r="AL229" s="1449"/>
      <c r="AM229" s="1449"/>
      <c r="AN229" s="1449"/>
      <c r="AO229" s="1449"/>
      <c r="AP229" s="1449"/>
      <c r="AQ229" s="1449"/>
      <c r="AR229" s="1449"/>
      <c r="AS229" s="1449"/>
      <c r="AT229" s="1449"/>
      <c r="AU229" s="1449"/>
    </row>
    <row r="230" spans="1:47" s="455" customFormat="1" ht="46.9" customHeight="1">
      <c r="A230" s="42" t="s">
        <v>922</v>
      </c>
      <c r="B230" s="42" t="s">
        <v>923</v>
      </c>
      <c r="C230" s="42" t="s">
        <v>7</v>
      </c>
      <c r="D230" s="41" t="s">
        <v>895</v>
      </c>
      <c r="E230" s="319">
        <f>F230+I230</f>
        <v>0</v>
      </c>
      <c r="F230" s="46"/>
      <c r="G230" s="46"/>
      <c r="H230" s="46"/>
      <c r="I230" s="46"/>
      <c r="J230" s="46">
        <f>+K230+N230</f>
        <v>2208000</v>
      </c>
      <c r="K230" s="96">
        <v>464000</v>
      </c>
      <c r="L230" s="48"/>
      <c r="M230" s="48"/>
      <c r="N230" s="46">
        <v>1744000</v>
      </c>
      <c r="O230" s="48"/>
      <c r="P230" s="48"/>
      <c r="Q230" s="46">
        <f>+J230+E230</f>
        <v>2208000</v>
      </c>
      <c r="R230" s="1482">
        <f t="shared" si="81"/>
        <v>2208000</v>
      </c>
      <c r="S230" s="1455">
        <f t="shared" si="84"/>
        <v>0</v>
      </c>
      <c r="T230" s="1450">
        <f t="shared" si="72"/>
        <v>0</v>
      </c>
      <c r="U230" s="1450"/>
      <c r="V230" s="1450">
        <f t="shared" si="68"/>
        <v>-1744000</v>
      </c>
      <c r="W230" s="1449"/>
      <c r="X230" s="1449"/>
      <c r="Y230" s="1449"/>
      <c r="Z230" s="1449"/>
      <c r="AA230" s="1449"/>
      <c r="AB230" s="1449"/>
      <c r="AC230" s="1449"/>
      <c r="AD230" s="1449"/>
      <c r="AE230" s="1449"/>
      <c r="AF230" s="1449"/>
      <c r="AG230" s="1449"/>
      <c r="AH230" s="1449"/>
      <c r="AI230" s="1449"/>
      <c r="AJ230" s="1449"/>
      <c r="AK230" s="1449"/>
      <c r="AL230" s="1449"/>
      <c r="AM230" s="1449"/>
      <c r="AN230" s="1449"/>
      <c r="AO230" s="1449"/>
      <c r="AP230" s="1449"/>
      <c r="AQ230" s="1449"/>
      <c r="AR230" s="1449"/>
      <c r="AS230" s="1449"/>
      <c r="AT230" s="1449"/>
      <c r="AU230" s="1449"/>
    </row>
    <row r="231" spans="1:47" s="1047" customFormat="1" ht="47.25">
      <c r="A231" s="1033" t="s">
        <v>279</v>
      </c>
      <c r="B231" s="1033"/>
      <c r="C231" s="1033"/>
      <c r="D231" s="1024" t="s">
        <v>296</v>
      </c>
      <c r="E231" s="908">
        <f>E233+E234</f>
        <v>1789900</v>
      </c>
      <c r="F231" s="908">
        <f t="shared" ref="F231:Q231" si="89">F233+F234</f>
        <v>1789900</v>
      </c>
      <c r="G231" s="908">
        <f t="shared" si="89"/>
        <v>715300</v>
      </c>
      <c r="H231" s="908">
        <f t="shared" si="89"/>
        <v>224850</v>
      </c>
      <c r="I231" s="908">
        <f t="shared" si="89"/>
        <v>0</v>
      </c>
      <c r="J231" s="908">
        <f t="shared" si="89"/>
        <v>0</v>
      </c>
      <c r="K231" s="908">
        <f t="shared" si="89"/>
        <v>0</v>
      </c>
      <c r="L231" s="908">
        <f t="shared" si="89"/>
        <v>0</v>
      </c>
      <c r="M231" s="908">
        <f t="shared" si="89"/>
        <v>0</v>
      </c>
      <c r="N231" s="908">
        <f t="shared" si="89"/>
        <v>0</v>
      </c>
      <c r="O231" s="908">
        <f t="shared" si="89"/>
        <v>0</v>
      </c>
      <c r="P231" s="908">
        <f t="shared" si="89"/>
        <v>0</v>
      </c>
      <c r="Q231" s="908">
        <f t="shared" si="89"/>
        <v>1789900</v>
      </c>
      <c r="R231" s="1482">
        <f t="shared" si="81"/>
        <v>1789900</v>
      </c>
      <c r="S231" s="1455">
        <f t="shared" si="84"/>
        <v>0</v>
      </c>
      <c r="T231" s="1450">
        <f t="shared" si="72"/>
        <v>0</v>
      </c>
      <c r="U231" s="1450"/>
      <c r="V231" s="1450">
        <f t="shared" si="68"/>
        <v>0</v>
      </c>
      <c r="W231" s="1467"/>
      <c r="X231" s="1467"/>
      <c r="Y231" s="1467"/>
      <c r="Z231" s="1467"/>
      <c r="AA231" s="1467"/>
      <c r="AB231" s="1467"/>
      <c r="AC231" s="1467"/>
      <c r="AD231" s="1467"/>
      <c r="AE231" s="1467"/>
      <c r="AF231" s="1467"/>
      <c r="AG231" s="1467"/>
      <c r="AH231" s="1467"/>
      <c r="AI231" s="1467"/>
      <c r="AJ231" s="1467"/>
      <c r="AK231" s="1467"/>
      <c r="AL231" s="1467"/>
      <c r="AM231" s="1467"/>
      <c r="AN231" s="1467"/>
      <c r="AO231" s="1467"/>
      <c r="AP231" s="1467"/>
      <c r="AQ231" s="1467"/>
      <c r="AR231" s="1467"/>
      <c r="AS231" s="1467"/>
      <c r="AT231" s="1467"/>
      <c r="AU231" s="1467"/>
    </row>
    <row r="232" spans="1:47" s="1042" customFormat="1" ht="47.25">
      <c r="A232" s="1033" t="s">
        <v>280</v>
      </c>
      <c r="B232" s="1033"/>
      <c r="C232" s="1033"/>
      <c r="D232" s="1024" t="s">
        <v>296</v>
      </c>
      <c r="E232" s="908">
        <f>SUM(E233:E234)</f>
        <v>1789900</v>
      </c>
      <c r="F232" s="908">
        <f t="shared" ref="F232:Q232" si="90">SUM(F233:F234)</f>
        <v>1789900</v>
      </c>
      <c r="G232" s="908">
        <f t="shared" si="90"/>
        <v>715300</v>
      </c>
      <c r="H232" s="908">
        <f t="shared" si="90"/>
        <v>224850</v>
      </c>
      <c r="I232" s="908">
        <f t="shared" si="90"/>
        <v>0</v>
      </c>
      <c r="J232" s="908">
        <f t="shared" si="90"/>
        <v>0</v>
      </c>
      <c r="K232" s="908">
        <f t="shared" si="90"/>
        <v>0</v>
      </c>
      <c r="L232" s="908">
        <f t="shared" si="90"/>
        <v>0</v>
      </c>
      <c r="M232" s="908">
        <f t="shared" si="90"/>
        <v>0</v>
      </c>
      <c r="N232" s="908">
        <f t="shared" si="90"/>
        <v>0</v>
      </c>
      <c r="O232" s="908">
        <f t="shared" si="90"/>
        <v>0</v>
      </c>
      <c r="P232" s="908">
        <f t="shared" si="90"/>
        <v>0</v>
      </c>
      <c r="Q232" s="908">
        <f t="shared" si="90"/>
        <v>1789900</v>
      </c>
      <c r="R232" s="1482">
        <f t="shared" si="81"/>
        <v>1789900</v>
      </c>
      <c r="S232" s="1455">
        <f t="shared" si="84"/>
        <v>0</v>
      </c>
      <c r="T232" s="1450">
        <f t="shared" si="72"/>
        <v>0</v>
      </c>
      <c r="U232" s="1450"/>
      <c r="V232" s="1450">
        <f t="shared" si="68"/>
        <v>0</v>
      </c>
      <c r="W232" s="1461"/>
      <c r="X232" s="1461"/>
      <c r="Y232" s="1461"/>
      <c r="Z232" s="1461"/>
      <c r="AA232" s="1461"/>
      <c r="AB232" s="1461"/>
      <c r="AC232" s="1461"/>
      <c r="AD232" s="1461"/>
      <c r="AE232" s="1461"/>
      <c r="AF232" s="1461"/>
      <c r="AG232" s="1461"/>
      <c r="AH232" s="1461"/>
      <c r="AI232" s="1461"/>
      <c r="AJ232" s="1461"/>
      <c r="AK232" s="1461"/>
      <c r="AL232" s="1461"/>
      <c r="AM232" s="1461"/>
      <c r="AN232" s="1461"/>
      <c r="AO232" s="1461"/>
      <c r="AP232" s="1461"/>
      <c r="AQ232" s="1461"/>
      <c r="AR232" s="1461"/>
      <c r="AS232" s="1461"/>
      <c r="AT232" s="1461"/>
      <c r="AU232" s="1461"/>
    </row>
    <row r="233" spans="1:47" ht="47.25">
      <c r="A233" s="1015" t="s">
        <v>597</v>
      </c>
      <c r="B233" s="1015" t="s">
        <v>598</v>
      </c>
      <c r="C233" s="1015" t="s">
        <v>370</v>
      </c>
      <c r="D233" s="1022" t="s">
        <v>787</v>
      </c>
      <c r="E233" s="1013">
        <f>F233+I233</f>
        <v>554100</v>
      </c>
      <c r="F233" s="1013">
        <v>554100</v>
      </c>
      <c r="G233" s="1013"/>
      <c r="H233" s="1013">
        <v>153900</v>
      </c>
      <c r="I233" s="1013"/>
      <c r="J233" s="1013">
        <f>+K233+N233</f>
        <v>0</v>
      </c>
      <c r="K233" s="1031"/>
      <c r="L233" s="1032"/>
      <c r="M233" s="1032"/>
      <c r="N233" s="1032"/>
      <c r="O233" s="1032"/>
      <c r="P233" s="1032"/>
      <c r="Q233" s="1013">
        <f>+J233+E233</f>
        <v>554100</v>
      </c>
      <c r="R233" s="1482">
        <f t="shared" si="81"/>
        <v>554100</v>
      </c>
      <c r="S233" s="1455">
        <f t="shared" si="84"/>
        <v>0</v>
      </c>
      <c r="T233" s="1450">
        <f t="shared" si="72"/>
        <v>0</v>
      </c>
      <c r="U233" s="1450"/>
      <c r="V233" s="1450">
        <f t="shared" si="68"/>
        <v>0</v>
      </c>
      <c r="W233" s="1449"/>
      <c r="X233" s="1449"/>
      <c r="Y233" s="1449"/>
      <c r="Z233" s="1449"/>
      <c r="AA233" s="1449"/>
      <c r="AB233" s="1449"/>
      <c r="AC233" s="1449"/>
      <c r="AD233" s="1449"/>
      <c r="AE233" s="1449"/>
      <c r="AF233" s="1449"/>
      <c r="AG233" s="1449"/>
      <c r="AH233" s="1449"/>
      <c r="AI233" s="1449"/>
      <c r="AJ233" s="1449"/>
      <c r="AK233" s="1449"/>
      <c r="AL233" s="1449"/>
      <c r="AM233" s="1449"/>
      <c r="AN233" s="1449"/>
      <c r="AO233" s="1449"/>
      <c r="AP233" s="1449"/>
      <c r="AQ233" s="1449"/>
      <c r="AR233" s="1449"/>
      <c r="AS233" s="1449"/>
      <c r="AT233" s="1449"/>
      <c r="AU233" s="1449"/>
    </row>
    <row r="234" spans="1:47" ht="15.75">
      <c r="A234" s="1015" t="s">
        <v>758</v>
      </c>
      <c r="B234" s="1015" t="s">
        <v>571</v>
      </c>
      <c r="C234" s="1015" t="s">
        <v>370</v>
      </c>
      <c r="D234" s="1022" t="s">
        <v>308</v>
      </c>
      <c r="E234" s="1013">
        <f>F234+I234</f>
        <v>1235800</v>
      </c>
      <c r="F234" s="1013">
        <v>1235800</v>
      </c>
      <c r="G234" s="1013">
        <v>715300</v>
      </c>
      <c r="H234" s="1013">
        <f>69700+1250</f>
        <v>70950</v>
      </c>
      <c r="I234" s="1013"/>
      <c r="J234" s="1013">
        <f>+K234+N234</f>
        <v>0</v>
      </c>
      <c r="K234" s="1031"/>
      <c r="L234" s="1032"/>
      <c r="M234" s="1032"/>
      <c r="N234" s="1032"/>
      <c r="O234" s="1032"/>
      <c r="P234" s="1032"/>
      <c r="Q234" s="1013">
        <f>+J234+E234</f>
        <v>1235800</v>
      </c>
      <c r="R234" s="1482">
        <f t="shared" si="81"/>
        <v>1235800</v>
      </c>
      <c r="S234" s="1455">
        <f t="shared" si="84"/>
        <v>0</v>
      </c>
      <c r="T234" s="1450">
        <f t="shared" si="72"/>
        <v>0</v>
      </c>
      <c r="U234" s="1450"/>
      <c r="V234" s="1450">
        <f t="shared" si="68"/>
        <v>0</v>
      </c>
      <c r="W234" s="1449"/>
      <c r="X234" s="1449"/>
      <c r="Y234" s="1449"/>
      <c r="Z234" s="1449"/>
      <c r="AA234" s="1449"/>
      <c r="AB234" s="1449"/>
      <c r="AC234" s="1449"/>
      <c r="AD234" s="1449"/>
      <c r="AE234" s="1449"/>
      <c r="AF234" s="1449"/>
      <c r="AG234" s="1449"/>
      <c r="AH234" s="1449"/>
      <c r="AI234" s="1449"/>
      <c r="AJ234" s="1449"/>
      <c r="AK234" s="1449"/>
      <c r="AL234" s="1449"/>
      <c r="AM234" s="1449"/>
      <c r="AN234" s="1449"/>
      <c r="AO234" s="1449"/>
      <c r="AP234" s="1449"/>
      <c r="AQ234" s="1449"/>
      <c r="AR234" s="1449"/>
      <c r="AS234" s="1449"/>
      <c r="AT234" s="1449"/>
      <c r="AU234" s="1449"/>
    </row>
    <row r="235" spans="1:47" s="1036" customFormat="1" ht="31.5">
      <c r="A235" s="1033" t="s">
        <v>603</v>
      </c>
      <c r="B235" s="1033"/>
      <c r="C235" s="1033"/>
      <c r="D235" s="1024" t="s">
        <v>121</v>
      </c>
      <c r="E235" s="908">
        <f t="shared" ref="E235:Q235" si="91">E239+E243+E241+E242+E252+E245+E251+E249+E248+E238+E247+E246+E244+E240+E250+E237</f>
        <v>3676256836.9299998</v>
      </c>
      <c r="F235" s="908">
        <f t="shared" si="91"/>
        <v>3666258236.9299998</v>
      </c>
      <c r="G235" s="908">
        <f t="shared" si="91"/>
        <v>0</v>
      </c>
      <c r="H235" s="908">
        <f t="shared" si="91"/>
        <v>0</v>
      </c>
      <c r="I235" s="908">
        <f t="shared" si="91"/>
        <v>2054500</v>
      </c>
      <c r="J235" s="908">
        <f t="shared" si="91"/>
        <v>16086347</v>
      </c>
      <c r="K235" s="908">
        <f t="shared" si="91"/>
        <v>0</v>
      </c>
      <c r="L235" s="908">
        <f t="shared" si="91"/>
        <v>0</v>
      </c>
      <c r="M235" s="908">
        <f t="shared" si="91"/>
        <v>0</v>
      </c>
      <c r="N235" s="908">
        <f t="shared" si="91"/>
        <v>16086347</v>
      </c>
      <c r="O235" s="908">
        <f t="shared" si="91"/>
        <v>16086347</v>
      </c>
      <c r="P235" s="908">
        <f t="shared" si="91"/>
        <v>16086347</v>
      </c>
      <c r="Q235" s="908">
        <f t="shared" si="91"/>
        <v>3692343183.9299998</v>
      </c>
      <c r="R235" s="1482">
        <f t="shared" si="81"/>
        <v>3692343183.9299998</v>
      </c>
      <c r="S235" s="1455">
        <f t="shared" si="84"/>
        <v>0</v>
      </c>
      <c r="T235" s="1450">
        <f t="shared" si="72"/>
        <v>0</v>
      </c>
      <c r="U235" s="1450"/>
      <c r="V235" s="1450">
        <f t="shared" si="68"/>
        <v>0</v>
      </c>
      <c r="W235" s="1459"/>
      <c r="X235" s="1459"/>
      <c r="Y235" s="1459"/>
      <c r="Z235" s="1459"/>
      <c r="AA235" s="1459"/>
      <c r="AB235" s="1459"/>
      <c r="AC235" s="1459"/>
      <c r="AD235" s="1459"/>
      <c r="AE235" s="1459"/>
      <c r="AF235" s="1459"/>
      <c r="AG235" s="1459"/>
      <c r="AH235" s="1459"/>
      <c r="AI235" s="1459"/>
      <c r="AJ235" s="1459"/>
      <c r="AK235" s="1459"/>
      <c r="AL235" s="1459"/>
      <c r="AM235" s="1459"/>
      <c r="AN235" s="1459"/>
      <c r="AO235" s="1459"/>
      <c r="AP235" s="1459"/>
      <c r="AQ235" s="1459"/>
      <c r="AR235" s="1459"/>
      <c r="AS235" s="1459"/>
      <c r="AT235" s="1459"/>
      <c r="AU235" s="1459"/>
    </row>
    <row r="236" spans="1:47" s="1036" customFormat="1" ht="31.5">
      <c r="A236" s="1033" t="s">
        <v>602</v>
      </c>
      <c r="B236" s="1033"/>
      <c r="C236" s="1033"/>
      <c r="D236" s="1024" t="s">
        <v>121</v>
      </c>
      <c r="E236" s="908">
        <f>SUM(E237:E252)</f>
        <v>3676256836.9299998</v>
      </c>
      <c r="F236" s="908">
        <f t="shared" ref="F236:Q236" si="92">SUM(F237:F252)</f>
        <v>3666258236.9299998</v>
      </c>
      <c r="G236" s="908">
        <f t="shared" si="92"/>
        <v>0</v>
      </c>
      <c r="H236" s="908">
        <f t="shared" si="92"/>
        <v>0</v>
      </c>
      <c r="I236" s="908">
        <f t="shared" si="92"/>
        <v>2054500</v>
      </c>
      <c r="J236" s="908">
        <f t="shared" si="92"/>
        <v>16086347</v>
      </c>
      <c r="K236" s="908">
        <f t="shared" si="92"/>
        <v>0</v>
      </c>
      <c r="L236" s="908">
        <f t="shared" si="92"/>
        <v>0</v>
      </c>
      <c r="M236" s="908">
        <f t="shared" si="92"/>
        <v>0</v>
      </c>
      <c r="N236" s="908">
        <f t="shared" si="92"/>
        <v>16086347</v>
      </c>
      <c r="O236" s="908">
        <f t="shared" si="92"/>
        <v>16086347</v>
      </c>
      <c r="P236" s="908">
        <f t="shared" si="92"/>
        <v>16086347</v>
      </c>
      <c r="Q236" s="908">
        <f t="shared" si="92"/>
        <v>3692343183.9299998</v>
      </c>
      <c r="R236" s="1482">
        <f t="shared" si="81"/>
        <v>3692343183.9299998</v>
      </c>
      <c r="S236" s="1455">
        <f>R236-Q236</f>
        <v>0</v>
      </c>
      <c r="T236" s="1450">
        <f t="shared" si="72"/>
        <v>0</v>
      </c>
      <c r="U236" s="1450"/>
      <c r="V236" s="1450">
        <f t="shared" si="68"/>
        <v>0</v>
      </c>
      <c r="W236" s="1459"/>
      <c r="X236" s="1459"/>
      <c r="Y236" s="1459"/>
      <c r="Z236" s="1459"/>
      <c r="AA236" s="1459"/>
      <c r="AB236" s="1459"/>
      <c r="AC236" s="1459"/>
      <c r="AD236" s="1459"/>
      <c r="AE236" s="1459"/>
      <c r="AF236" s="1459"/>
      <c r="AG236" s="1459"/>
      <c r="AH236" s="1459"/>
      <c r="AI236" s="1459"/>
      <c r="AJ236" s="1459"/>
      <c r="AK236" s="1459"/>
      <c r="AL236" s="1459"/>
      <c r="AM236" s="1459"/>
      <c r="AN236" s="1459"/>
      <c r="AO236" s="1459"/>
      <c r="AP236" s="1459"/>
      <c r="AQ236" s="1459"/>
      <c r="AR236" s="1459"/>
      <c r="AS236" s="1459"/>
      <c r="AT236" s="1459"/>
      <c r="AU236" s="1459"/>
    </row>
    <row r="237" spans="1:47" s="1066" customFormat="1" ht="31.15" hidden="1" customHeight="1">
      <c r="A237" s="1015" t="s">
        <v>949</v>
      </c>
      <c r="B237" s="1015" t="s">
        <v>950</v>
      </c>
      <c r="C237" s="1015" t="s">
        <v>7</v>
      </c>
      <c r="D237" s="1022" t="s">
        <v>951</v>
      </c>
      <c r="E237" s="1013">
        <f>F237+I237</f>
        <v>0</v>
      </c>
      <c r="F237" s="1013"/>
      <c r="G237" s="1013"/>
      <c r="H237" s="1013"/>
      <c r="I237" s="1013"/>
      <c r="J237" s="1013">
        <f t="shared" ref="J237:J243" si="93">+K237+N237</f>
        <v>0</v>
      </c>
      <c r="K237" s="1031"/>
      <c r="L237" s="1032"/>
      <c r="M237" s="1032"/>
      <c r="N237" s="1013"/>
      <c r="O237" s="1032"/>
      <c r="P237" s="1032"/>
      <c r="Q237" s="1013">
        <f t="shared" ref="Q237:Q250" si="94">+J237+E237</f>
        <v>0</v>
      </c>
      <c r="R237" s="1481">
        <f t="shared" si="81"/>
        <v>0</v>
      </c>
      <c r="S237" s="1035"/>
      <c r="T237" s="1006">
        <f t="shared" si="72"/>
        <v>0</v>
      </c>
      <c r="U237" s="1006"/>
      <c r="V237" s="1006">
        <f t="shared" si="68"/>
        <v>0</v>
      </c>
    </row>
    <row r="238" spans="1:47" s="1066" customFormat="1" ht="15.75">
      <c r="A238" s="1015" t="s">
        <v>604</v>
      </c>
      <c r="B238" s="1015" t="s">
        <v>605</v>
      </c>
      <c r="C238" s="1015" t="s">
        <v>10</v>
      </c>
      <c r="D238" s="1022" t="s">
        <v>271</v>
      </c>
      <c r="E238" s="1026">
        <f>5000000+2944100</f>
        <v>7944100</v>
      </c>
      <c r="F238" s="1013"/>
      <c r="G238" s="1013"/>
      <c r="H238" s="1013"/>
      <c r="I238" s="1013"/>
      <c r="J238" s="1013">
        <f t="shared" si="93"/>
        <v>0</v>
      </c>
      <c r="K238" s="1031"/>
      <c r="L238" s="1032"/>
      <c r="M238" s="1032"/>
      <c r="N238" s="1013"/>
      <c r="O238" s="1032"/>
      <c r="P238" s="1032"/>
      <c r="Q238" s="1013">
        <f t="shared" si="94"/>
        <v>7944100</v>
      </c>
      <c r="R238" s="1482">
        <f t="shared" si="81"/>
        <v>7944100</v>
      </c>
      <c r="S238" s="1455">
        <f t="shared" si="84"/>
        <v>0</v>
      </c>
      <c r="T238" s="1450">
        <f t="shared" si="72"/>
        <v>0</v>
      </c>
      <c r="U238" s="1450"/>
      <c r="V238" s="1450">
        <f t="shared" ref="V238:V253" si="95">O238-N238</f>
        <v>0</v>
      </c>
      <c r="W238" s="1473"/>
      <c r="X238" s="1473"/>
      <c r="Y238" s="1473"/>
      <c r="Z238" s="1473"/>
      <c r="AA238" s="1473"/>
      <c r="AB238" s="1473"/>
      <c r="AC238" s="1473"/>
      <c r="AD238" s="1473"/>
      <c r="AE238" s="1473"/>
      <c r="AF238" s="1473"/>
      <c r="AG238" s="1473"/>
      <c r="AH238" s="1473"/>
      <c r="AI238" s="1473"/>
      <c r="AJ238" s="1473"/>
      <c r="AK238" s="1473"/>
      <c r="AL238" s="1473"/>
      <c r="AM238" s="1473"/>
      <c r="AN238" s="1473"/>
      <c r="AO238" s="1473"/>
      <c r="AP238" s="1473"/>
      <c r="AQ238" s="1473"/>
      <c r="AR238" s="1473"/>
      <c r="AS238" s="1473"/>
      <c r="AT238" s="1473"/>
      <c r="AU238" s="1473"/>
    </row>
    <row r="239" spans="1:47" s="197" customFormat="1" ht="46.9" hidden="1" customHeight="1">
      <c r="A239" s="42" t="s">
        <v>606</v>
      </c>
      <c r="B239" s="42" t="s">
        <v>27</v>
      </c>
      <c r="C239" s="42" t="s">
        <v>7</v>
      </c>
      <c r="D239" s="33" t="s">
        <v>607</v>
      </c>
      <c r="E239" s="46">
        <f>F239+I239</f>
        <v>0</v>
      </c>
      <c r="F239" s="46"/>
      <c r="G239" s="46"/>
      <c r="H239" s="46"/>
      <c r="I239" s="46"/>
      <c r="J239" s="46">
        <f t="shared" si="93"/>
        <v>0</v>
      </c>
      <c r="K239" s="96"/>
      <c r="L239" s="48"/>
      <c r="M239" s="48"/>
      <c r="N239" s="46"/>
      <c r="O239" s="48"/>
      <c r="P239" s="48"/>
      <c r="Q239" s="46">
        <f t="shared" si="94"/>
        <v>0</v>
      </c>
      <c r="R239" s="1481">
        <f t="shared" si="81"/>
        <v>0</v>
      </c>
      <c r="S239" s="284">
        <f t="shared" si="84"/>
        <v>0</v>
      </c>
      <c r="T239" s="1006">
        <f t="shared" si="72"/>
        <v>0</v>
      </c>
      <c r="U239" s="536"/>
      <c r="V239" s="536">
        <f t="shared" si="95"/>
        <v>0</v>
      </c>
    </row>
    <row r="240" spans="1:47" s="1066" customFormat="1" ht="78.75">
      <c r="A240" s="1015" t="s">
        <v>723</v>
      </c>
      <c r="B240" s="1015" t="s">
        <v>374</v>
      </c>
      <c r="C240" s="1015" t="s">
        <v>7</v>
      </c>
      <c r="D240" s="1016" t="s">
        <v>721</v>
      </c>
      <c r="E240" s="1013">
        <f>F240+I240</f>
        <v>359152300</v>
      </c>
      <c r="F240" s="1026">
        <v>359152300</v>
      </c>
      <c r="G240" s="1026"/>
      <c r="H240" s="1026"/>
      <c r="I240" s="1026"/>
      <c r="J240" s="1013">
        <f t="shared" si="93"/>
        <v>0</v>
      </c>
      <c r="K240" s="1072"/>
      <c r="L240" s="1073"/>
      <c r="M240" s="1073"/>
      <c r="N240" s="1026"/>
      <c r="O240" s="1073"/>
      <c r="P240" s="1073"/>
      <c r="Q240" s="1013">
        <f t="shared" si="94"/>
        <v>359152300</v>
      </c>
      <c r="R240" s="1482">
        <f t="shared" si="81"/>
        <v>359152300</v>
      </c>
      <c r="S240" s="1455">
        <f t="shared" si="84"/>
        <v>0</v>
      </c>
      <c r="T240" s="1450">
        <f t="shared" si="72"/>
        <v>0</v>
      </c>
      <c r="U240" s="1450"/>
      <c r="V240" s="1450">
        <f t="shared" si="95"/>
        <v>0</v>
      </c>
      <c r="W240" s="1473"/>
      <c r="X240" s="1473"/>
      <c r="Y240" s="1473"/>
      <c r="Z240" s="1473"/>
      <c r="AA240" s="1473"/>
      <c r="AB240" s="1473"/>
      <c r="AC240" s="1473"/>
      <c r="AD240" s="1473"/>
      <c r="AE240" s="1473"/>
      <c r="AF240" s="1473"/>
      <c r="AG240" s="1473"/>
      <c r="AH240" s="1473"/>
      <c r="AI240" s="1473"/>
      <c r="AJ240" s="1473"/>
      <c r="AK240" s="1473"/>
      <c r="AL240" s="1473"/>
      <c r="AM240" s="1473"/>
      <c r="AN240" s="1473"/>
      <c r="AO240" s="1473"/>
      <c r="AP240" s="1473"/>
      <c r="AQ240" s="1473"/>
      <c r="AR240" s="1473"/>
      <c r="AS240" s="1473"/>
      <c r="AT240" s="1473"/>
      <c r="AU240" s="1473"/>
    </row>
    <row r="241" spans="1:47" s="1066" customFormat="1" ht="280.89999999999998" customHeight="1">
      <c r="A241" s="1015" t="s">
        <v>614</v>
      </c>
      <c r="B241" s="1015" t="s">
        <v>615</v>
      </c>
      <c r="C241" s="1015" t="s">
        <v>7</v>
      </c>
      <c r="D241" s="1016" t="s">
        <v>1192</v>
      </c>
      <c r="E241" s="1013">
        <f>F241+I241</f>
        <v>847599300</v>
      </c>
      <c r="F241" s="1013">
        <f>1295203200-447603900</f>
        <v>847599300</v>
      </c>
      <c r="G241" s="1013"/>
      <c r="H241" s="1013"/>
      <c r="I241" s="1013"/>
      <c r="J241" s="1013">
        <f t="shared" si="93"/>
        <v>0</v>
      </c>
      <c r="K241" s="1074"/>
      <c r="L241" s="1013"/>
      <c r="M241" s="1013"/>
      <c r="N241" s="1013"/>
      <c r="O241" s="1013"/>
      <c r="P241" s="1013"/>
      <c r="Q241" s="1013">
        <f t="shared" si="94"/>
        <v>847599300</v>
      </c>
      <c r="R241" s="1482">
        <f t="shared" si="81"/>
        <v>847599300</v>
      </c>
      <c r="S241" s="1455">
        <f t="shared" si="84"/>
        <v>0</v>
      </c>
      <c r="T241" s="1450">
        <f t="shared" si="72"/>
        <v>0</v>
      </c>
      <c r="U241" s="1450"/>
      <c r="V241" s="1450">
        <f t="shared" si="95"/>
        <v>0</v>
      </c>
      <c r="W241" s="1473"/>
      <c r="X241" s="1473"/>
      <c r="Y241" s="1473"/>
      <c r="Z241" s="1473"/>
      <c r="AA241" s="1473"/>
      <c r="AB241" s="1473"/>
      <c r="AC241" s="1473"/>
      <c r="AD241" s="1473"/>
      <c r="AE241" s="1473"/>
      <c r="AF241" s="1473"/>
      <c r="AG241" s="1473"/>
      <c r="AH241" s="1473"/>
      <c r="AI241" s="1473"/>
      <c r="AJ241" s="1473"/>
      <c r="AK241" s="1473"/>
      <c r="AL241" s="1473"/>
      <c r="AM241" s="1473"/>
      <c r="AN241" s="1473"/>
      <c r="AO241" s="1473"/>
      <c r="AP241" s="1473"/>
      <c r="AQ241" s="1473"/>
      <c r="AR241" s="1473"/>
      <c r="AS241" s="1473"/>
      <c r="AT241" s="1473"/>
      <c r="AU241" s="1473"/>
    </row>
    <row r="242" spans="1:47" s="1066" customFormat="1" ht="100.9" customHeight="1">
      <c r="A242" s="1015" t="s">
        <v>611</v>
      </c>
      <c r="B242" s="1015" t="s">
        <v>612</v>
      </c>
      <c r="C242" s="1015" t="s">
        <v>7</v>
      </c>
      <c r="D242" s="1016" t="s">
        <v>613</v>
      </c>
      <c r="E242" s="1013">
        <f>F242+I242</f>
        <v>227953600</v>
      </c>
      <c r="F242" s="1013">
        <v>227953600</v>
      </c>
      <c r="G242" s="1013"/>
      <c r="H242" s="1013"/>
      <c r="I242" s="1013"/>
      <c r="J242" s="1013">
        <f t="shared" si="93"/>
        <v>0</v>
      </c>
      <c r="K242" s="1074"/>
      <c r="L242" s="1013"/>
      <c r="M242" s="1013"/>
      <c r="N242" s="1013"/>
      <c r="O242" s="1013"/>
      <c r="P242" s="1013"/>
      <c r="Q242" s="1013">
        <f t="shared" si="94"/>
        <v>227953600</v>
      </c>
      <c r="R242" s="1482">
        <f t="shared" si="81"/>
        <v>227953600</v>
      </c>
      <c r="S242" s="1455">
        <f t="shared" si="84"/>
        <v>0</v>
      </c>
      <c r="T242" s="1450">
        <f t="shared" si="72"/>
        <v>0</v>
      </c>
      <c r="U242" s="1450"/>
      <c r="V242" s="1450">
        <f t="shared" si="95"/>
        <v>0</v>
      </c>
      <c r="W242" s="1473"/>
      <c r="X242" s="1473"/>
      <c r="Y242" s="1473"/>
      <c r="Z242" s="1473"/>
      <c r="AA242" s="1473"/>
      <c r="AB242" s="1473"/>
      <c r="AC242" s="1473"/>
      <c r="AD242" s="1473"/>
      <c r="AE242" s="1473"/>
      <c r="AF242" s="1473"/>
      <c r="AG242" s="1473"/>
      <c r="AH242" s="1473"/>
      <c r="AI242" s="1473"/>
      <c r="AJ242" s="1473"/>
      <c r="AK242" s="1473"/>
      <c r="AL242" s="1473"/>
      <c r="AM242" s="1473"/>
      <c r="AN242" s="1473"/>
      <c r="AO242" s="1473"/>
      <c r="AP242" s="1473"/>
      <c r="AQ242" s="1473"/>
      <c r="AR242" s="1473"/>
      <c r="AS242" s="1473"/>
      <c r="AT242" s="1473"/>
      <c r="AU242" s="1473"/>
    </row>
    <row r="243" spans="1:47" s="1045" customFormat="1" ht="262.89999999999998" customHeight="1">
      <c r="A243" s="1015" t="s">
        <v>608</v>
      </c>
      <c r="B243" s="1015" t="s">
        <v>609</v>
      </c>
      <c r="C243" s="1015" t="s">
        <v>7</v>
      </c>
      <c r="D243" s="1075" t="s">
        <v>770</v>
      </c>
      <c r="E243" s="1013">
        <f>F243+I243</f>
        <v>2193248600</v>
      </c>
      <c r="F243" s="1013">
        <v>2193248600</v>
      </c>
      <c r="G243" s="1013"/>
      <c r="H243" s="1013"/>
      <c r="I243" s="1013"/>
      <c r="J243" s="1013">
        <f t="shared" si="93"/>
        <v>0</v>
      </c>
      <c r="K243" s="1031"/>
      <c r="L243" s="1032"/>
      <c r="M243" s="1032"/>
      <c r="N243" s="1013"/>
      <c r="O243" s="1032"/>
      <c r="P243" s="1032"/>
      <c r="Q243" s="1013">
        <f t="shared" si="94"/>
        <v>2193248600</v>
      </c>
      <c r="R243" s="1482">
        <f t="shared" si="81"/>
        <v>2193248600</v>
      </c>
      <c r="S243" s="1455">
        <f t="shared" si="84"/>
        <v>0</v>
      </c>
      <c r="T243" s="1450">
        <f t="shared" si="72"/>
        <v>0</v>
      </c>
      <c r="U243" s="1450"/>
      <c r="V243" s="1450">
        <f t="shared" si="95"/>
        <v>0</v>
      </c>
      <c r="W243" s="1462"/>
      <c r="X243" s="1462"/>
      <c r="Y243" s="1462"/>
      <c r="Z243" s="1462"/>
      <c r="AA243" s="1462"/>
      <c r="AB243" s="1462"/>
      <c r="AC243" s="1462"/>
      <c r="AD243" s="1462"/>
      <c r="AE243" s="1462"/>
      <c r="AF243" s="1462"/>
      <c r="AG243" s="1462"/>
      <c r="AH243" s="1462"/>
      <c r="AI243" s="1462"/>
      <c r="AJ243" s="1462"/>
      <c r="AK243" s="1462"/>
      <c r="AL243" s="1462"/>
      <c r="AM243" s="1462"/>
      <c r="AN243" s="1462"/>
      <c r="AO243" s="1462"/>
      <c r="AP243" s="1462"/>
      <c r="AQ243" s="1462"/>
      <c r="AR243" s="1462"/>
      <c r="AS243" s="1462"/>
      <c r="AT243" s="1462"/>
      <c r="AU243" s="1462"/>
    </row>
    <row r="244" spans="1:47" s="449" customFormat="1" ht="409.5" hidden="1">
      <c r="A244" s="441" t="s">
        <v>628</v>
      </c>
      <c r="B244" s="441" t="s">
        <v>627</v>
      </c>
      <c r="C244" s="441" t="s">
        <v>7</v>
      </c>
      <c r="D244" s="446" t="s">
        <v>1193</v>
      </c>
      <c r="E244" s="47">
        <f t="shared" ref="E244:E252" si="96">F244+I244</f>
        <v>0</v>
      </c>
      <c r="F244" s="447"/>
      <c r="G244" s="447"/>
      <c r="H244" s="447"/>
      <c r="I244" s="447"/>
      <c r="J244" s="47">
        <f t="shared" ref="J244:J252" si="97">+K244+N244</f>
        <v>0</v>
      </c>
      <c r="K244" s="448"/>
      <c r="L244" s="447"/>
      <c r="M244" s="447"/>
      <c r="N244" s="447"/>
      <c r="O244" s="447"/>
      <c r="P244" s="447"/>
      <c r="Q244" s="47">
        <f>+J244+E244</f>
        <v>0</v>
      </c>
      <c r="R244" s="1481">
        <f t="shared" si="81"/>
        <v>0</v>
      </c>
      <c r="S244" s="284">
        <f t="shared" si="84"/>
        <v>0</v>
      </c>
      <c r="T244" s="1006">
        <f t="shared" si="72"/>
        <v>0</v>
      </c>
      <c r="U244" s="536"/>
      <c r="V244" s="536">
        <f t="shared" si="95"/>
        <v>0</v>
      </c>
    </row>
    <row r="245" spans="1:47" s="1066" customFormat="1" ht="229.15" customHeight="1">
      <c r="A245" s="1076" t="s">
        <v>623</v>
      </c>
      <c r="B245" s="1076" t="s">
        <v>621</v>
      </c>
      <c r="C245" s="1076" t="s">
        <v>7</v>
      </c>
      <c r="D245" s="1077" t="s">
        <v>972</v>
      </c>
      <c r="E245" s="1414">
        <f t="shared" si="96"/>
        <v>21324673.93</v>
      </c>
      <c r="F245" s="1414">
        <v>21324673.93</v>
      </c>
      <c r="G245" s="1414"/>
      <c r="H245" s="1414"/>
      <c r="I245" s="1414"/>
      <c r="J245" s="1414">
        <f t="shared" si="97"/>
        <v>0</v>
      </c>
      <c r="K245" s="1414"/>
      <c r="L245" s="1414"/>
      <c r="M245" s="1414"/>
      <c r="N245" s="1414"/>
      <c r="O245" s="1414"/>
      <c r="P245" s="1414"/>
      <c r="Q245" s="1414">
        <f>+J245+E245</f>
        <v>21324673.93</v>
      </c>
      <c r="R245" s="1482">
        <f t="shared" si="81"/>
        <v>21324673.93</v>
      </c>
      <c r="S245" s="1455">
        <f t="shared" si="84"/>
        <v>0</v>
      </c>
      <c r="T245" s="1450">
        <f t="shared" si="72"/>
        <v>0</v>
      </c>
      <c r="U245" s="1450"/>
      <c r="V245" s="1450">
        <f t="shared" si="95"/>
        <v>0</v>
      </c>
      <c r="W245" s="1473"/>
      <c r="X245" s="1473"/>
      <c r="Y245" s="1473"/>
      <c r="Z245" s="1473"/>
      <c r="AA245" s="1473"/>
      <c r="AB245" s="1473"/>
      <c r="AC245" s="1473"/>
      <c r="AD245" s="1473"/>
      <c r="AE245" s="1473"/>
      <c r="AF245" s="1473"/>
      <c r="AG245" s="1473"/>
      <c r="AH245" s="1473"/>
      <c r="AI245" s="1473"/>
      <c r="AJ245" s="1473"/>
      <c r="AK245" s="1473"/>
      <c r="AL245" s="1473"/>
      <c r="AM245" s="1473"/>
      <c r="AN245" s="1473"/>
      <c r="AO245" s="1473"/>
      <c r="AP245" s="1473"/>
      <c r="AQ245" s="1473"/>
      <c r="AR245" s="1473"/>
      <c r="AS245" s="1473"/>
      <c r="AT245" s="1473"/>
      <c r="AU245" s="1473"/>
    </row>
    <row r="246" spans="1:47" s="22" customFormat="1" ht="62.45" customHeight="1">
      <c r="A246" s="279" t="s">
        <v>630</v>
      </c>
      <c r="B246" s="279" t="s">
        <v>431</v>
      </c>
      <c r="C246" s="279" t="s">
        <v>7</v>
      </c>
      <c r="D246" s="35" t="s">
        <v>432</v>
      </c>
      <c r="E246" s="46">
        <f t="shared" si="96"/>
        <v>3323051</v>
      </c>
      <c r="F246" s="46">
        <f>1217551+45000+6000</f>
        <v>1268551</v>
      </c>
      <c r="G246" s="46"/>
      <c r="H246" s="46"/>
      <c r="I246" s="46">
        <f>2000500+54000</f>
        <v>2054500</v>
      </c>
      <c r="J246" s="46">
        <f t="shared" si="97"/>
        <v>0</v>
      </c>
      <c r="K246" s="97"/>
      <c r="L246" s="46"/>
      <c r="M246" s="46"/>
      <c r="N246" s="46"/>
      <c r="O246" s="46"/>
      <c r="P246" s="46"/>
      <c r="Q246" s="46">
        <f>+J246+E246</f>
        <v>3323051</v>
      </c>
      <c r="R246" s="1482">
        <f t="shared" si="81"/>
        <v>3323051</v>
      </c>
      <c r="S246" s="1455">
        <f t="shared" si="84"/>
        <v>0</v>
      </c>
      <c r="T246" s="1450">
        <f t="shared" si="72"/>
        <v>0</v>
      </c>
      <c r="U246" s="1450"/>
      <c r="V246" s="1450">
        <f t="shared" si="95"/>
        <v>0</v>
      </c>
      <c r="W246" s="1477"/>
      <c r="X246" s="1477"/>
      <c r="Y246" s="1477"/>
      <c r="Z246" s="1477"/>
      <c r="AA246" s="1477"/>
      <c r="AB246" s="1477"/>
      <c r="AC246" s="1477"/>
      <c r="AD246" s="1477"/>
      <c r="AE246" s="1477"/>
      <c r="AF246" s="1477"/>
      <c r="AG246" s="1477"/>
      <c r="AH246" s="1477"/>
      <c r="AI246" s="1477"/>
      <c r="AJ246" s="1477"/>
      <c r="AK246" s="1477"/>
      <c r="AL246" s="1477"/>
      <c r="AM246" s="1477"/>
      <c r="AN246" s="1477"/>
      <c r="AO246" s="1477"/>
      <c r="AP246" s="1477"/>
      <c r="AQ246" s="1477"/>
      <c r="AR246" s="1477"/>
      <c r="AS246" s="1477"/>
      <c r="AT246" s="1477"/>
      <c r="AU246" s="1477"/>
    </row>
    <row r="247" spans="1:47" s="22" customFormat="1" ht="93.6" hidden="1" customHeight="1">
      <c r="A247" s="280" t="s">
        <v>618</v>
      </c>
      <c r="B247" s="280" t="s">
        <v>619</v>
      </c>
      <c r="C247" s="280" t="s">
        <v>7</v>
      </c>
      <c r="D247" s="248" t="s">
        <v>620</v>
      </c>
      <c r="E247" s="192">
        <f t="shared" si="96"/>
        <v>0</v>
      </c>
      <c r="F247" s="192"/>
      <c r="G247" s="192"/>
      <c r="H247" s="192"/>
      <c r="I247" s="192"/>
      <c r="J247" s="192">
        <f t="shared" si="97"/>
        <v>0</v>
      </c>
      <c r="K247" s="193"/>
      <c r="L247" s="192"/>
      <c r="M247" s="192"/>
      <c r="N247" s="192"/>
      <c r="O247" s="192"/>
      <c r="P247" s="192"/>
      <c r="Q247" s="192">
        <f t="shared" si="94"/>
        <v>0</v>
      </c>
      <c r="R247" s="1005">
        <f t="shared" si="81"/>
        <v>0</v>
      </c>
      <c r="S247" s="284">
        <f t="shared" si="84"/>
        <v>0</v>
      </c>
      <c r="T247" s="1006">
        <f t="shared" si="72"/>
        <v>0</v>
      </c>
      <c r="U247" s="536"/>
      <c r="V247" s="536">
        <f t="shared" si="95"/>
        <v>0</v>
      </c>
    </row>
    <row r="248" spans="1:47" s="22" customFormat="1" ht="409.6" hidden="1" customHeight="1">
      <c r="A248" s="451">
        <v>3719610</v>
      </c>
      <c r="B248" s="451">
        <v>9610</v>
      </c>
      <c r="C248" s="280" t="s">
        <v>7</v>
      </c>
      <c r="D248" s="248" t="s">
        <v>955</v>
      </c>
      <c r="E248" s="192">
        <f t="shared" si="96"/>
        <v>0</v>
      </c>
      <c r="F248" s="192"/>
      <c r="G248" s="192"/>
      <c r="H248" s="192"/>
      <c r="I248" s="192"/>
      <c r="J248" s="46">
        <f t="shared" si="97"/>
        <v>0</v>
      </c>
      <c r="K248" s="193"/>
      <c r="L248" s="192"/>
      <c r="M248" s="192"/>
      <c r="N248" s="192"/>
      <c r="O248" s="192"/>
      <c r="P248" s="192"/>
      <c r="Q248" s="192">
        <f>+J248+E248</f>
        <v>0</v>
      </c>
      <c r="R248" s="1481">
        <f t="shared" si="81"/>
        <v>0</v>
      </c>
      <c r="S248" s="284">
        <f t="shared" si="84"/>
        <v>0</v>
      </c>
      <c r="T248" s="1006">
        <f t="shared" si="72"/>
        <v>0</v>
      </c>
      <c r="U248" s="536"/>
      <c r="V248" s="536">
        <f t="shared" si="95"/>
        <v>0</v>
      </c>
    </row>
    <row r="249" spans="1:47" s="197" customFormat="1" ht="78.75">
      <c r="A249" s="279" t="s">
        <v>625</v>
      </c>
      <c r="B249" s="279" t="s">
        <v>624</v>
      </c>
      <c r="C249" s="279" t="s">
        <v>7</v>
      </c>
      <c r="D249" s="35" t="s">
        <v>626</v>
      </c>
      <c r="E249" s="46">
        <f t="shared" si="96"/>
        <v>1321180</v>
      </c>
      <c r="F249" s="46">
        <f>68800+1252380</f>
        <v>1321180</v>
      </c>
      <c r="G249" s="46"/>
      <c r="H249" s="46"/>
      <c r="I249" s="46"/>
      <c r="J249" s="46">
        <f t="shared" si="97"/>
        <v>0</v>
      </c>
      <c r="K249" s="46"/>
      <c r="L249" s="46"/>
      <c r="M249" s="46"/>
      <c r="N249" s="46"/>
      <c r="O249" s="46"/>
      <c r="P249" s="46"/>
      <c r="Q249" s="46">
        <f t="shared" si="94"/>
        <v>1321180</v>
      </c>
      <c r="R249" s="1482">
        <f t="shared" si="81"/>
        <v>1321180</v>
      </c>
      <c r="S249" s="1455">
        <f t="shared" si="84"/>
        <v>0</v>
      </c>
      <c r="T249" s="1450">
        <f t="shared" si="72"/>
        <v>0</v>
      </c>
      <c r="U249" s="1450"/>
      <c r="V249" s="1450">
        <f t="shared" si="95"/>
        <v>0</v>
      </c>
      <c r="W249" s="1473"/>
      <c r="X249" s="1473"/>
      <c r="Y249" s="1473"/>
      <c r="Z249" s="1473"/>
      <c r="AA249" s="1473"/>
      <c r="AB249" s="1473"/>
      <c r="AC249" s="1473"/>
      <c r="AD249" s="1473"/>
      <c r="AE249" s="1473"/>
      <c r="AF249" s="1473"/>
      <c r="AG249" s="1473"/>
      <c r="AH249" s="1473"/>
      <c r="AI249" s="1473"/>
      <c r="AJ249" s="1473"/>
      <c r="AK249" s="1473"/>
      <c r="AL249" s="1473"/>
      <c r="AM249" s="1473"/>
      <c r="AN249" s="1473"/>
      <c r="AO249" s="1473"/>
      <c r="AP249" s="1473"/>
      <c r="AQ249" s="1473"/>
      <c r="AR249" s="1473"/>
      <c r="AS249" s="1473"/>
      <c r="AT249" s="1473"/>
      <c r="AU249" s="1473"/>
    </row>
    <row r="250" spans="1:47" s="197" customFormat="1" ht="46.9" hidden="1" customHeight="1">
      <c r="A250" s="279" t="s">
        <v>763</v>
      </c>
      <c r="B250" s="279" t="s">
        <v>764</v>
      </c>
      <c r="C250" s="279" t="s">
        <v>7</v>
      </c>
      <c r="D250" s="35" t="s">
        <v>765</v>
      </c>
      <c r="E250" s="46">
        <f t="shared" si="96"/>
        <v>0</v>
      </c>
      <c r="F250" s="46"/>
      <c r="G250" s="46"/>
      <c r="H250" s="46"/>
      <c r="I250" s="46"/>
      <c r="J250" s="46">
        <f t="shared" si="97"/>
        <v>0</v>
      </c>
      <c r="K250" s="46"/>
      <c r="L250" s="46"/>
      <c r="M250" s="46"/>
      <c r="N250" s="46"/>
      <c r="O250" s="46"/>
      <c r="P250" s="46"/>
      <c r="Q250" s="46">
        <f t="shared" si="94"/>
        <v>0</v>
      </c>
      <c r="R250" s="1481">
        <f t="shared" si="81"/>
        <v>0</v>
      </c>
      <c r="S250" s="284">
        <f t="shared" si="84"/>
        <v>0</v>
      </c>
      <c r="T250" s="1006">
        <f t="shared" si="72"/>
        <v>0</v>
      </c>
      <c r="U250" s="536"/>
      <c r="V250" s="536">
        <f t="shared" si="95"/>
        <v>0</v>
      </c>
    </row>
    <row r="251" spans="1:47" s="1066" customFormat="1" ht="15.75">
      <c r="A251" s="1015" t="s">
        <v>631</v>
      </c>
      <c r="B251" s="1015" t="s">
        <v>401</v>
      </c>
      <c r="C251" s="1015" t="s">
        <v>7</v>
      </c>
      <c r="D251" s="1043" t="s">
        <v>474</v>
      </c>
      <c r="E251" s="1013">
        <f>F251+I251</f>
        <v>8621432</v>
      </c>
      <c r="F251" s="1013">
        <f>2500000+250844+5438588+7000+70000+190000+165000</f>
        <v>8621432</v>
      </c>
      <c r="G251" s="1013"/>
      <c r="H251" s="1013"/>
      <c r="I251" s="1013"/>
      <c r="J251" s="1026">
        <f t="shared" si="97"/>
        <v>13798947</v>
      </c>
      <c r="K251" s="1013"/>
      <c r="L251" s="1013"/>
      <c r="M251" s="1013"/>
      <c r="N251" s="1013">
        <f>1000000+251835+9364112+18000+3130000+35000</f>
        <v>13798947</v>
      </c>
      <c r="O251" s="1013">
        <f>1000000+9615947+18000+3130000+35000</f>
        <v>13798947</v>
      </c>
      <c r="P251" s="1013">
        <f>13763947+35000</f>
        <v>13798947</v>
      </c>
      <c r="Q251" s="1013">
        <f>+J251+E251</f>
        <v>22420379</v>
      </c>
      <c r="R251" s="1482">
        <f t="shared" si="81"/>
        <v>22420379</v>
      </c>
      <c r="S251" s="1455">
        <f t="shared" si="84"/>
        <v>0</v>
      </c>
      <c r="T251" s="1450">
        <f t="shared" si="72"/>
        <v>0</v>
      </c>
      <c r="U251" s="1450"/>
      <c r="V251" s="1450">
        <f t="shared" si="95"/>
        <v>0</v>
      </c>
      <c r="W251" s="1473"/>
      <c r="X251" s="1473"/>
      <c r="Y251" s="1473"/>
      <c r="Z251" s="1473"/>
      <c r="AA251" s="1473"/>
      <c r="AB251" s="1473"/>
      <c r="AC251" s="1473"/>
      <c r="AD251" s="1473"/>
      <c r="AE251" s="1473"/>
      <c r="AF251" s="1473"/>
      <c r="AG251" s="1473"/>
      <c r="AH251" s="1473"/>
      <c r="AI251" s="1473"/>
      <c r="AJ251" s="1473"/>
      <c r="AK251" s="1473"/>
      <c r="AL251" s="1473"/>
      <c r="AM251" s="1473"/>
      <c r="AN251" s="1473"/>
      <c r="AO251" s="1473"/>
      <c r="AP251" s="1473"/>
      <c r="AQ251" s="1473"/>
      <c r="AR251" s="1473"/>
      <c r="AS251" s="1473"/>
      <c r="AT251" s="1473"/>
      <c r="AU251" s="1473"/>
    </row>
    <row r="252" spans="1:47" s="22" customFormat="1" ht="62.45" customHeight="1">
      <c r="A252" s="279" t="s">
        <v>617</v>
      </c>
      <c r="B252" s="279" t="s">
        <v>396</v>
      </c>
      <c r="C252" s="279" t="s">
        <v>7</v>
      </c>
      <c r="D252" s="33" t="s">
        <v>397</v>
      </c>
      <c r="E252" s="46">
        <f t="shared" si="96"/>
        <v>5768600</v>
      </c>
      <c r="F252" s="46">
        <f>5018600+650000+100000</f>
        <v>5768600</v>
      </c>
      <c r="G252" s="46"/>
      <c r="H252" s="46"/>
      <c r="I252" s="46"/>
      <c r="J252" s="46">
        <f t="shared" si="97"/>
        <v>2287400</v>
      </c>
      <c r="K252" s="97"/>
      <c r="L252" s="46"/>
      <c r="M252" s="46"/>
      <c r="N252" s="46">
        <f>2007400+280000</f>
        <v>2287400</v>
      </c>
      <c r="O252" s="46">
        <v>2287400</v>
      </c>
      <c r="P252" s="46">
        <v>2287400</v>
      </c>
      <c r="Q252" s="46">
        <f>+J252+E252</f>
        <v>8056000</v>
      </c>
      <c r="R252" s="1482">
        <f t="shared" si="81"/>
        <v>8056000</v>
      </c>
      <c r="S252" s="1455">
        <f t="shared" si="84"/>
        <v>0</v>
      </c>
      <c r="T252" s="1450">
        <f t="shared" si="72"/>
        <v>0</v>
      </c>
      <c r="U252" s="1450"/>
      <c r="V252" s="1450">
        <f t="shared" si="95"/>
        <v>0</v>
      </c>
      <c r="W252" s="1477"/>
      <c r="X252" s="1477"/>
      <c r="Y252" s="1477"/>
      <c r="Z252" s="1477"/>
      <c r="AA252" s="1477"/>
      <c r="AB252" s="1477"/>
      <c r="AC252" s="1477"/>
      <c r="AD252" s="1477"/>
      <c r="AE252" s="1477"/>
      <c r="AF252" s="1477"/>
      <c r="AG252" s="1477"/>
      <c r="AH252" s="1477"/>
      <c r="AI252" s="1477"/>
      <c r="AJ252" s="1477"/>
      <c r="AK252" s="1477"/>
      <c r="AL252" s="1477"/>
      <c r="AM252" s="1477"/>
      <c r="AN252" s="1477"/>
      <c r="AO252" s="1477"/>
      <c r="AP252" s="1477"/>
      <c r="AQ252" s="1477"/>
      <c r="AR252" s="1477"/>
      <c r="AS252" s="1477"/>
      <c r="AT252" s="1477"/>
      <c r="AU252" s="1477"/>
    </row>
    <row r="253" spans="1:47" s="1036" customFormat="1" ht="15.75">
      <c r="A253" s="1033" t="s">
        <v>994</v>
      </c>
      <c r="B253" s="1033" t="s">
        <v>994</v>
      </c>
      <c r="C253" s="1033" t="s">
        <v>994</v>
      </c>
      <c r="D253" s="1078" t="s">
        <v>1004</v>
      </c>
      <c r="E253" s="1199">
        <f t="shared" ref="E253:Q253" si="98">+E14+E25+E30+E50+E76+E128+E105+E231+E112+E208+E200+E156+E213+E235+E217+E224</f>
        <v>6322094495.1199999</v>
      </c>
      <c r="F253" s="1199">
        <f t="shared" si="98"/>
        <v>6152632997.0499992</v>
      </c>
      <c r="G253" s="1199">
        <f t="shared" si="98"/>
        <v>492627280</v>
      </c>
      <c r="H253" s="1199">
        <f t="shared" si="98"/>
        <v>101095560</v>
      </c>
      <c r="I253" s="1199">
        <f t="shared" si="98"/>
        <v>161517398.06999999</v>
      </c>
      <c r="J253" s="1199">
        <f t="shared" si="98"/>
        <v>1526354624.8299999</v>
      </c>
      <c r="K253" s="1199">
        <f t="shared" si="98"/>
        <v>720995406.89999998</v>
      </c>
      <c r="L253" s="1199">
        <f t="shared" si="98"/>
        <v>4736939</v>
      </c>
      <c r="M253" s="1199">
        <f t="shared" si="98"/>
        <v>2433537</v>
      </c>
      <c r="N253" s="1199">
        <f t="shared" si="98"/>
        <v>805359217.93000007</v>
      </c>
      <c r="O253" s="1199">
        <f t="shared" si="98"/>
        <v>411887427.93000001</v>
      </c>
      <c r="P253" s="1199">
        <f t="shared" si="98"/>
        <v>295064315.93000001</v>
      </c>
      <c r="Q253" s="1199">
        <f t="shared" si="98"/>
        <v>7848449119.9500008</v>
      </c>
      <c r="R253" s="1482">
        <f t="shared" si="81"/>
        <v>7848449119.9499998</v>
      </c>
      <c r="S253" s="1455">
        <f>SUM(S14:S252)</f>
        <v>0</v>
      </c>
      <c r="T253" s="1450">
        <f>P253-O253</f>
        <v>-116823112</v>
      </c>
      <c r="U253" s="1450"/>
      <c r="V253" s="1450">
        <f t="shared" si="95"/>
        <v>-393471790.00000006</v>
      </c>
      <c r="W253" s="1459"/>
      <c r="X253" s="1459"/>
      <c r="Y253" s="1459"/>
      <c r="Z253" s="1459"/>
      <c r="AA253" s="1459"/>
      <c r="AB253" s="1459"/>
      <c r="AC253" s="1459"/>
      <c r="AD253" s="1459"/>
      <c r="AE253" s="1459"/>
      <c r="AF253" s="1459"/>
      <c r="AG253" s="1459"/>
      <c r="AH253" s="1459"/>
      <c r="AI253" s="1459"/>
      <c r="AJ253" s="1459"/>
      <c r="AK253" s="1459"/>
      <c r="AL253" s="1459"/>
      <c r="AM253" s="1459"/>
      <c r="AN253" s="1459"/>
      <c r="AO253" s="1459"/>
      <c r="AP253" s="1459"/>
      <c r="AQ253" s="1459"/>
      <c r="AR253" s="1459"/>
      <c r="AS253" s="1459"/>
      <c r="AT253" s="1459"/>
      <c r="AU253" s="1459"/>
    </row>
    <row r="254" spans="1:47" s="1045" customFormat="1" ht="15.75">
      <c r="A254" s="1079"/>
      <c r="B254" s="1079"/>
      <c r="C254" s="1079"/>
      <c r="D254" s="1080"/>
      <c r="E254" s="1081"/>
      <c r="F254" s="1081"/>
      <c r="G254" s="1082"/>
      <c r="H254" s="1082"/>
      <c r="I254" s="1082"/>
      <c r="J254" s="1082"/>
      <c r="K254" s="1082"/>
      <c r="L254" s="1082"/>
      <c r="M254" s="1082"/>
      <c r="N254" s="1082"/>
      <c r="O254" s="1082"/>
      <c r="P254" s="1082"/>
      <c r="Q254" s="1081"/>
      <c r="R254" s="1482">
        <f t="shared" si="81"/>
        <v>0</v>
      </c>
      <c r="S254" s="1460">
        <f>S253-дод1!F145</f>
        <v>-12819365</v>
      </c>
      <c r="T254" s="1462"/>
      <c r="U254" s="1462"/>
      <c r="V254" s="1478">
        <f>N254-O254</f>
        <v>0</v>
      </c>
      <c r="W254" s="1462"/>
      <c r="X254" s="1462"/>
      <c r="Y254" s="1462"/>
      <c r="Z254" s="1462"/>
      <c r="AA254" s="1462"/>
      <c r="AB254" s="1462"/>
      <c r="AC254" s="1462"/>
      <c r="AD254" s="1462"/>
      <c r="AE254" s="1462"/>
      <c r="AF254" s="1462"/>
      <c r="AG254" s="1462"/>
      <c r="AH254" s="1462"/>
      <c r="AI254" s="1462"/>
      <c r="AJ254" s="1462"/>
      <c r="AK254" s="1462"/>
      <c r="AL254" s="1462"/>
      <c r="AM254" s="1462"/>
      <c r="AN254" s="1462"/>
      <c r="AO254" s="1462"/>
      <c r="AP254" s="1462"/>
      <c r="AQ254" s="1462"/>
      <c r="AR254" s="1462"/>
      <c r="AS254" s="1462"/>
      <c r="AT254" s="1462"/>
      <c r="AU254" s="1462"/>
    </row>
    <row r="255" spans="1:47" s="1045" customFormat="1" ht="20.25">
      <c r="A255" s="1079"/>
      <c r="B255" s="1079"/>
      <c r="C255" s="1079"/>
      <c r="D255" s="1084" t="s">
        <v>211</v>
      </c>
      <c r="E255" s="1084"/>
      <c r="F255" s="1085"/>
      <c r="G255" s="1086"/>
      <c r="I255" s="1087"/>
      <c r="J255" s="1088"/>
      <c r="K255" s="1088"/>
      <c r="L255" s="1084" t="s">
        <v>946</v>
      </c>
      <c r="M255" s="1088"/>
      <c r="N255" s="1081"/>
      <c r="O255" s="1089"/>
      <c r="P255" s="1090"/>
      <c r="R255" s="1482">
        <f t="shared" si="81"/>
        <v>0</v>
      </c>
      <c r="S255" s="1460">
        <f>R255-N255</f>
        <v>0</v>
      </c>
      <c r="T255" s="1462"/>
      <c r="U255" s="1462"/>
      <c r="V255" s="1478"/>
      <c r="W255" s="1462"/>
      <c r="X255" s="1462"/>
      <c r="Y255" s="1462"/>
      <c r="Z255" s="1462"/>
      <c r="AA255" s="1462"/>
      <c r="AB255" s="1462"/>
      <c r="AC255" s="1462"/>
      <c r="AD255" s="1462"/>
      <c r="AE255" s="1462"/>
      <c r="AF255" s="1462"/>
      <c r="AG255" s="1462"/>
      <c r="AH255" s="1462"/>
      <c r="AI255" s="1462"/>
      <c r="AJ255" s="1462"/>
      <c r="AK255" s="1462"/>
      <c r="AL255" s="1462"/>
      <c r="AM255" s="1462"/>
      <c r="AN255" s="1462"/>
      <c r="AO255" s="1462"/>
      <c r="AP255" s="1462"/>
      <c r="AQ255" s="1462"/>
      <c r="AR255" s="1462"/>
      <c r="AS255" s="1462"/>
      <c r="AT255" s="1462"/>
      <c r="AU255" s="1462"/>
    </row>
    <row r="256" spans="1:47" s="1094" customFormat="1">
      <c r="A256" s="1091"/>
      <c r="B256" s="1091"/>
      <c r="C256" s="1091"/>
      <c r="D256" s="1092"/>
      <c r="E256" s="1093"/>
      <c r="F256" s="1093"/>
      <c r="G256" s="1093"/>
      <c r="H256" s="1093"/>
      <c r="I256" s="1093"/>
      <c r="J256" s="1093"/>
      <c r="K256" s="1093"/>
      <c r="L256" s="1093"/>
      <c r="M256" s="1093"/>
      <c r="N256" s="1093"/>
      <c r="O256" s="1093"/>
      <c r="P256" s="1093"/>
      <c r="Q256" s="1093"/>
      <c r="R256" s="1479">
        <f>R15+R26+R31+R129+R51+R77+R106+R113+R209+R157+R201+R232+R218+R236+R214+R225</f>
        <v>7848449119.9499998</v>
      </c>
      <c r="S256" s="1480"/>
      <c r="T256" s="1480"/>
      <c r="U256" s="1480"/>
      <c r="V256" s="1480"/>
      <c r="W256" s="1480"/>
      <c r="X256" s="1480"/>
      <c r="Y256" s="1480"/>
      <c r="Z256" s="1480"/>
      <c r="AA256" s="1480"/>
      <c r="AB256" s="1480"/>
      <c r="AC256" s="1480"/>
      <c r="AD256" s="1480"/>
      <c r="AE256" s="1480"/>
      <c r="AF256" s="1480"/>
      <c r="AG256" s="1480"/>
      <c r="AH256" s="1480"/>
      <c r="AI256" s="1480"/>
      <c r="AJ256" s="1480"/>
      <c r="AK256" s="1480"/>
      <c r="AL256" s="1480"/>
      <c r="AM256" s="1480"/>
      <c r="AN256" s="1480"/>
      <c r="AO256" s="1480"/>
      <c r="AP256" s="1480"/>
      <c r="AQ256" s="1480"/>
      <c r="AR256" s="1480"/>
      <c r="AS256" s="1480"/>
      <c r="AT256" s="1480"/>
      <c r="AU256" s="1480"/>
    </row>
    <row r="257" spans="1:19" s="302" customFormat="1" ht="13.15" hidden="1" customHeight="1">
      <c r="A257" s="301"/>
      <c r="B257" s="301"/>
      <c r="C257" s="301"/>
      <c r="D257" s="300"/>
      <c r="E257" s="300" t="b">
        <f>E253=E256</f>
        <v>0</v>
      </c>
      <c r="F257" s="300" t="b">
        <f t="shared" ref="F257:M257" si="99">F253=F256</f>
        <v>0</v>
      </c>
      <c r="G257" s="300" t="b">
        <f t="shared" si="99"/>
        <v>0</v>
      </c>
      <c r="H257" s="300" t="b">
        <f t="shared" si="99"/>
        <v>0</v>
      </c>
      <c r="I257" s="300" t="b">
        <f t="shared" si="99"/>
        <v>0</v>
      </c>
      <c r="J257" s="300" t="b">
        <f>J253=J256</f>
        <v>0</v>
      </c>
      <c r="K257" s="300" t="b">
        <f t="shared" si="99"/>
        <v>0</v>
      </c>
      <c r="L257" s="300" t="b">
        <f t="shared" si="99"/>
        <v>0</v>
      </c>
      <c r="M257" s="300" t="b">
        <f t="shared" si="99"/>
        <v>0</v>
      </c>
      <c r="N257" s="300" t="b">
        <f>N253=N256</f>
        <v>0</v>
      </c>
      <c r="O257" s="300" t="b">
        <f>O253=O256</f>
        <v>0</v>
      </c>
      <c r="P257" s="300" t="b">
        <f>P253=P256</f>
        <v>0</v>
      </c>
      <c r="Q257" s="300" t="b">
        <f>Q253=Q256</f>
        <v>0</v>
      </c>
      <c r="R257" s="300" t="b">
        <f>R253=R256</f>
        <v>1</v>
      </c>
    </row>
    <row r="258" spans="1:19" s="87" customFormat="1" ht="13.15" hidden="1" customHeight="1">
      <c r="A258" s="281"/>
      <c r="B258" s="281"/>
      <c r="C258" s="281"/>
      <c r="D258" s="24"/>
      <c r="E258" s="313" t="b">
        <f>E256=E253</f>
        <v>0</v>
      </c>
      <c r="F258" s="313" t="b">
        <f t="shared" ref="F258:R258" si="100">F256=F253</f>
        <v>0</v>
      </c>
      <c r="G258" s="313" t="b">
        <f t="shared" si="100"/>
        <v>0</v>
      </c>
      <c r="H258" s="313" t="b">
        <f t="shared" si="100"/>
        <v>0</v>
      </c>
      <c r="I258" s="313" t="b">
        <f t="shared" si="100"/>
        <v>0</v>
      </c>
      <c r="J258" s="313" t="b">
        <f>J256=J253</f>
        <v>0</v>
      </c>
      <c r="K258" s="313" t="b">
        <f t="shared" si="100"/>
        <v>0</v>
      </c>
      <c r="L258" s="313" t="b">
        <f t="shared" si="100"/>
        <v>0</v>
      </c>
      <c r="M258" s="313" t="b">
        <f t="shared" si="100"/>
        <v>0</v>
      </c>
      <c r="N258" s="313" t="b">
        <f>N256=N253</f>
        <v>0</v>
      </c>
      <c r="O258" s="313" t="b">
        <f>O256=O253</f>
        <v>0</v>
      </c>
      <c r="P258" s="313" t="b">
        <f>P256=P253</f>
        <v>0</v>
      </c>
      <c r="Q258" s="313" t="b">
        <f>Q256=Q253</f>
        <v>0</v>
      </c>
      <c r="R258" s="313" t="b">
        <f t="shared" si="100"/>
        <v>1</v>
      </c>
      <c r="S258" s="482"/>
    </row>
    <row r="259" spans="1:19" s="87" customFormat="1" ht="13.15" hidden="1" customHeight="1">
      <c r="A259" s="281"/>
      <c r="B259" s="281"/>
      <c r="C259" s="281"/>
      <c r="D259" s="24"/>
      <c r="E259" s="24"/>
      <c r="F259" s="24"/>
      <c r="G259" s="24"/>
      <c r="H259" s="24"/>
      <c r="I259" s="24"/>
      <c r="J259" s="24"/>
      <c r="K259" s="24"/>
      <c r="L259" s="24"/>
      <c r="M259" s="24"/>
      <c r="N259" s="24"/>
      <c r="O259" s="24"/>
      <c r="P259" s="84"/>
      <c r="Q259" s="24"/>
      <c r="R259" s="24"/>
    </row>
    <row r="260" spans="1:19" s="87" customFormat="1" ht="13.15" hidden="1" customHeight="1">
      <c r="A260" s="281"/>
      <c r="B260" s="281"/>
      <c r="C260" s="281"/>
      <c r="D260" s="24"/>
      <c r="E260" s="24"/>
      <c r="F260" s="24"/>
      <c r="G260" s="24"/>
      <c r="H260" s="24"/>
      <c r="I260" s="24"/>
      <c r="J260" s="24"/>
      <c r="K260" s="24"/>
      <c r="L260" s="24"/>
      <c r="M260" s="24"/>
      <c r="N260" s="24"/>
      <c r="O260" s="314">
        <f>E253+P253</f>
        <v>6617158811.0500002</v>
      </c>
      <c r="P260" s="84"/>
      <c r="Q260" s="24"/>
      <c r="R260" s="24"/>
    </row>
    <row r="261" spans="1:19" s="87" customFormat="1" ht="13.15" hidden="1" customHeight="1">
      <c r="A261" s="281"/>
      <c r="B261" s="281"/>
      <c r="C261" s="281"/>
      <c r="D261" s="24"/>
      <c r="E261" s="314" t="b">
        <f>E256=E253</f>
        <v>0</v>
      </c>
      <c r="F261" s="314" t="b">
        <f t="shared" ref="F261:R261" si="101">F256=F253</f>
        <v>0</v>
      </c>
      <c r="G261" s="314" t="b">
        <f t="shared" si="101"/>
        <v>0</v>
      </c>
      <c r="H261" s="314" t="b">
        <f t="shared" si="101"/>
        <v>0</v>
      </c>
      <c r="I261" s="314" t="b">
        <f t="shared" si="101"/>
        <v>0</v>
      </c>
      <c r="J261" s="314" t="b">
        <f t="shared" si="101"/>
        <v>0</v>
      </c>
      <c r="K261" s="314" t="b">
        <f t="shared" si="101"/>
        <v>0</v>
      </c>
      <c r="L261" s="314" t="b">
        <f t="shared" si="101"/>
        <v>0</v>
      </c>
      <c r="M261" s="314" t="b">
        <f t="shared" si="101"/>
        <v>0</v>
      </c>
      <c r="N261" s="314" t="b">
        <f t="shared" si="101"/>
        <v>0</v>
      </c>
      <c r="O261" s="314" t="b">
        <f t="shared" si="101"/>
        <v>0</v>
      </c>
      <c r="P261" s="314" t="b">
        <f t="shared" si="101"/>
        <v>0</v>
      </c>
      <c r="Q261" s="314" t="b">
        <f t="shared" si="101"/>
        <v>0</v>
      </c>
      <c r="R261" s="314" t="b">
        <f t="shared" si="101"/>
        <v>1</v>
      </c>
    </row>
    <row r="262" spans="1:19" s="87" customFormat="1" ht="13.15" hidden="1" customHeight="1">
      <c r="A262" s="281"/>
      <c r="B262" s="281"/>
      <c r="C262" s="281"/>
      <c r="D262" s="24"/>
      <c r="E262" s="24"/>
      <c r="F262" s="24"/>
      <c r="G262" s="24"/>
      <c r="H262" s="24"/>
      <c r="I262" s="24"/>
      <c r="J262" s="24"/>
      <c r="K262" s="24"/>
      <c r="L262" s="24"/>
      <c r="M262" s="24"/>
      <c r="N262" s="24"/>
      <c r="O262" s="24"/>
      <c r="P262" s="84"/>
      <c r="Q262" s="24"/>
      <c r="R262" s="24"/>
    </row>
    <row r="263" spans="1:19" s="87" customFormat="1" ht="13.15" hidden="1" customHeight="1">
      <c r="A263" s="281"/>
      <c r="B263" s="281"/>
      <c r="C263" s="281"/>
      <c r="D263" s="24"/>
      <c r="E263" s="24"/>
      <c r="F263" s="24"/>
      <c r="G263" s="24"/>
      <c r="H263" s="24"/>
      <c r="I263" s="24"/>
      <c r="J263" s="24"/>
      <c r="K263" s="24"/>
      <c r="L263" s="24"/>
      <c r="M263" s="24"/>
      <c r="N263" s="24"/>
      <c r="O263" s="24"/>
      <c r="P263" s="84"/>
      <c r="Q263" s="24"/>
      <c r="R263" s="24"/>
    </row>
    <row r="264" spans="1:19" s="87" customFormat="1" ht="13.15" hidden="1" customHeight="1">
      <c r="A264" s="281"/>
      <c r="B264" s="281"/>
      <c r="C264" s="281"/>
      <c r="D264" s="24"/>
      <c r="E264" s="24"/>
      <c r="F264" s="24"/>
      <c r="G264" s="24"/>
      <c r="H264" s="24"/>
      <c r="I264" s="24"/>
      <c r="J264" s="24"/>
      <c r="K264" s="24"/>
      <c r="L264" s="24"/>
      <c r="M264" s="24"/>
      <c r="N264" s="24"/>
      <c r="O264" s="24"/>
      <c r="P264" s="84"/>
      <c r="Q264" s="314">
        <f>E253+J253</f>
        <v>7848449119.9499998</v>
      </c>
      <c r="R264" s="24"/>
    </row>
    <row r="265" spans="1:19" s="87" customFormat="1" ht="13.15" hidden="1" customHeight="1">
      <c r="G265" s="314">
        <f>F253+P253+I253+E238</f>
        <v>6617158811.0499992</v>
      </c>
      <c r="H265" s="24"/>
      <c r="I265" s="24"/>
      <c r="J265" s="24"/>
      <c r="K265" s="24"/>
      <c r="L265" s="24"/>
      <c r="M265" s="24"/>
      <c r="N265" s="24"/>
      <c r="O265" s="24"/>
      <c r="P265" s="84"/>
      <c r="Q265" s="314">
        <f>O253-P253</f>
        <v>116823112</v>
      </c>
    </row>
    <row r="266" spans="1:19" s="87" customFormat="1" ht="13.15" hidden="1" customHeight="1">
      <c r="A266" s="281"/>
      <c r="B266" s="281"/>
      <c r="C266" s="281"/>
      <c r="D266" s="24"/>
      <c r="E266" s="24"/>
      <c r="F266" s="24"/>
      <c r="G266" s="24"/>
      <c r="H266" s="24"/>
      <c r="I266" s="24"/>
      <c r="J266" s="24"/>
      <c r="K266" s="24"/>
      <c r="L266" s="24"/>
      <c r="M266" s="24"/>
      <c r="N266" s="24"/>
      <c r="O266" s="24"/>
      <c r="P266" s="84"/>
      <c r="Q266" s="24"/>
      <c r="R266" s="24"/>
    </row>
    <row r="267" spans="1:19" s="87" customFormat="1" ht="13.15" hidden="1" customHeight="1">
      <c r="G267" s="314"/>
      <c r="H267" s="24"/>
      <c r="I267" s="24"/>
      <c r="J267" s="24"/>
      <c r="K267" s="24"/>
      <c r="L267" s="24"/>
      <c r="M267" s="24"/>
      <c r="N267" s="314">
        <f>O253-N253</f>
        <v>-393471790.00000006</v>
      </c>
      <c r="O267" s="24"/>
      <c r="P267" s="84"/>
      <c r="Q267" s="24"/>
    </row>
    <row r="268" spans="1:19" s="87" customFormat="1" ht="13.15" hidden="1" customHeight="1">
      <c r="A268" s="281"/>
      <c r="B268" s="281"/>
      <c r="C268" s="281"/>
      <c r="D268" s="24"/>
      <c r="E268" s="314">
        <f>E256-E253</f>
        <v>-6322094495.1199999</v>
      </c>
      <c r="F268" s="314">
        <f t="shared" ref="F268:R268" si="102">F256-F253</f>
        <v>-6152632997.0499992</v>
      </c>
      <c r="G268" s="314">
        <f t="shared" si="102"/>
        <v>-492627280</v>
      </c>
      <c r="H268" s="314">
        <f t="shared" si="102"/>
        <v>-101095560</v>
      </c>
      <c r="I268" s="314">
        <f t="shared" si="102"/>
        <v>-161517398.06999999</v>
      </c>
      <c r="J268" s="314">
        <f t="shared" si="102"/>
        <v>-1526354624.8299999</v>
      </c>
      <c r="K268" s="314">
        <f t="shared" si="102"/>
        <v>-720995406.89999998</v>
      </c>
      <c r="L268" s="314">
        <f t="shared" si="102"/>
        <v>-4736939</v>
      </c>
      <c r="M268" s="314">
        <f t="shared" si="102"/>
        <v>-2433537</v>
      </c>
      <c r="N268" s="314">
        <f t="shared" si="102"/>
        <v>-805359217.93000007</v>
      </c>
      <c r="O268" s="314">
        <f t="shared" si="102"/>
        <v>-411887427.93000001</v>
      </c>
      <c r="P268" s="314">
        <f t="shared" si="102"/>
        <v>-295064315.93000001</v>
      </c>
      <c r="Q268" s="314">
        <f t="shared" si="102"/>
        <v>-7848449119.9500008</v>
      </c>
      <c r="R268" s="314">
        <f t="shared" si="102"/>
        <v>0</v>
      </c>
      <c r="S268" s="482">
        <f>S42+S56+S171+S190+S203</f>
        <v>0</v>
      </c>
    </row>
    <row r="269" spans="1:19" s="87" customFormat="1" ht="13.15" hidden="1" customHeight="1">
      <c r="A269" s="281"/>
      <c r="B269" s="281"/>
      <c r="C269" s="281"/>
      <c r="D269" s="24"/>
      <c r="E269" s="24"/>
      <c r="F269" s="24"/>
      <c r="G269" s="24"/>
      <c r="H269" s="24"/>
      <c r="I269" s="24"/>
      <c r="J269" s="24"/>
      <c r="K269" s="24"/>
      <c r="L269" s="24"/>
      <c r="M269" s="24"/>
      <c r="N269" s="24"/>
      <c r="O269" s="24"/>
      <c r="P269" s="84"/>
      <c r="Q269" s="24"/>
      <c r="R269" s="24"/>
      <c r="S269" s="482">
        <f>дод1!C145</f>
        <v>13178365</v>
      </c>
    </row>
    <row r="270" spans="1:19" s="87" customFormat="1" ht="13.15" hidden="1" customHeight="1">
      <c r="A270" s="281"/>
      <c r="B270" s="281"/>
      <c r="C270" s="281"/>
      <c r="D270" s="24"/>
      <c r="E270" s="24"/>
      <c r="F270" s="24"/>
      <c r="G270" s="24"/>
      <c r="H270" s="24"/>
      <c r="I270" s="24"/>
      <c r="J270" s="24"/>
      <c r="K270" s="24"/>
      <c r="L270" s="24"/>
      <c r="M270" s="24"/>
      <c r="N270" s="24"/>
      <c r="O270" s="24"/>
      <c r="P270" s="84"/>
      <c r="Q270" s="24"/>
      <c r="R270" s="24"/>
      <c r="S270" s="482">
        <f>S269-S268</f>
        <v>13178365</v>
      </c>
    </row>
    <row r="271" spans="1:19" s="87" customFormat="1" ht="13.15" hidden="1" customHeight="1">
      <c r="A271" s="281"/>
      <c r="B271" s="281"/>
      <c r="C271" s="281"/>
      <c r="D271" s="24"/>
      <c r="E271" s="314">
        <f>E253-E256</f>
        <v>6322094495.1199999</v>
      </c>
      <c r="F271" s="314">
        <f t="shared" ref="F271:Q271" si="103">F253-F256</f>
        <v>6152632997.0499992</v>
      </c>
      <c r="G271" s="314">
        <f t="shared" si="103"/>
        <v>492627280</v>
      </c>
      <c r="H271" s="314">
        <f t="shared" si="103"/>
        <v>101095560</v>
      </c>
      <c r="I271" s="314">
        <f t="shared" si="103"/>
        <v>161517398.06999999</v>
      </c>
      <c r="J271" s="314">
        <f t="shared" si="103"/>
        <v>1526354624.8299999</v>
      </c>
      <c r="K271" s="314">
        <f t="shared" si="103"/>
        <v>720995406.89999998</v>
      </c>
      <c r="L271" s="314">
        <f t="shared" si="103"/>
        <v>4736939</v>
      </c>
      <c r="M271" s="314">
        <f t="shared" si="103"/>
        <v>2433537</v>
      </c>
      <c r="N271" s="314">
        <f t="shared" si="103"/>
        <v>805359217.93000007</v>
      </c>
      <c r="O271" s="314">
        <f t="shared" si="103"/>
        <v>411887427.93000001</v>
      </c>
      <c r="P271" s="314">
        <f t="shared" si="103"/>
        <v>295064315.93000001</v>
      </c>
      <c r="Q271" s="314">
        <f t="shared" si="103"/>
        <v>7848449119.9500008</v>
      </c>
      <c r="R271" s="24"/>
    </row>
    <row r="272" spans="1:19" s="455" customFormat="1" ht="13.15" hidden="1" customHeight="1">
      <c r="A272" s="601"/>
      <c r="B272" s="601"/>
      <c r="C272" s="601"/>
      <c r="D272" s="569"/>
      <c r="E272" s="569"/>
      <c r="F272" s="569"/>
      <c r="G272" s="569"/>
      <c r="H272" s="569"/>
      <c r="I272" s="569"/>
      <c r="J272" s="569"/>
      <c r="K272" s="569"/>
      <c r="L272" s="569"/>
      <c r="M272" s="569"/>
      <c r="N272" s="569"/>
      <c r="O272" s="569"/>
      <c r="P272" s="602"/>
      <c r="Q272" s="569"/>
      <c r="R272" s="569"/>
    </row>
    <row r="273" spans="1:20" s="455" customFormat="1" ht="13.15" hidden="1" customHeight="1">
      <c r="G273" s="569"/>
      <c r="H273" s="569"/>
      <c r="I273" s="569"/>
      <c r="J273" s="569"/>
      <c r="K273" s="569"/>
      <c r="L273" s="569"/>
      <c r="M273" s="569"/>
      <c r="N273" s="569"/>
      <c r="O273" s="569"/>
      <c r="P273" s="600"/>
      <c r="Q273" s="569"/>
    </row>
    <row r="274" spans="1:20" s="455" customFormat="1" ht="13.15" hidden="1" customHeight="1">
      <c r="G274" s="569"/>
      <c r="H274" s="569"/>
      <c r="I274" s="569"/>
      <c r="J274" s="569"/>
      <c r="K274" s="569"/>
      <c r="L274" s="569"/>
      <c r="M274" s="569"/>
      <c r="N274" s="569"/>
      <c r="O274" s="569"/>
      <c r="P274" s="600"/>
      <c r="Q274" s="569"/>
    </row>
    <row r="275" spans="1:20" s="455" customFormat="1" ht="13.15" hidden="1" customHeight="1">
      <c r="G275" s="569"/>
      <c r="H275" s="569"/>
      <c r="I275" s="569"/>
      <c r="J275" s="569"/>
      <c r="K275" s="569"/>
      <c r="L275" s="569"/>
      <c r="M275" s="569"/>
      <c r="N275" s="569"/>
      <c r="O275" s="569"/>
      <c r="P275" s="600">
        <f>P273-P274</f>
        <v>0</v>
      </c>
      <c r="Q275" s="569"/>
    </row>
    <row r="276" spans="1:20" s="455" customFormat="1" ht="13.15" hidden="1" customHeight="1">
      <c r="A276" s="601"/>
      <c r="B276" s="601"/>
      <c r="C276" s="601"/>
      <c r="D276" s="569"/>
      <c r="E276" s="569"/>
      <c r="F276" s="569"/>
      <c r="G276" s="569"/>
      <c r="H276" s="569"/>
      <c r="I276" s="569"/>
      <c r="J276" s="569"/>
      <c r="K276" s="569"/>
      <c r="L276" s="569"/>
      <c r="M276" s="569"/>
      <c r="N276" s="569"/>
      <c r="O276" s="569"/>
      <c r="P276" s="602"/>
      <c r="Q276" s="569"/>
      <c r="R276" s="569"/>
    </row>
    <row r="277" spans="1:20" s="455" customFormat="1" ht="13.15" hidden="1" customHeight="1">
      <c r="A277" s="601"/>
      <c r="B277" s="601"/>
      <c r="C277" s="601"/>
      <c r="D277" s="569"/>
      <c r="E277" s="569"/>
      <c r="F277" s="569"/>
      <c r="G277" s="569"/>
      <c r="H277" s="569"/>
      <c r="I277" s="569"/>
      <c r="J277" s="569"/>
      <c r="K277" s="569"/>
      <c r="L277" s="569"/>
      <c r="M277" s="569"/>
      <c r="N277" s="569"/>
      <c r="O277" s="569"/>
      <c r="P277" s="602"/>
      <c r="Q277" s="569"/>
      <c r="R277" s="569"/>
      <c r="T277" s="767">
        <f>дод1!F140+дод1!F142+дод1!F143+дод1!F144+дод1!F145</f>
        <v>38548616</v>
      </c>
    </row>
    <row r="278" spans="1:20" s="455" customFormat="1" ht="13.15" hidden="1" customHeight="1">
      <c r="A278" s="601"/>
      <c r="B278" s="601"/>
      <c r="C278" s="601"/>
      <c r="D278" s="569"/>
      <c r="E278" s="569"/>
      <c r="F278" s="569"/>
      <c r="G278" s="569"/>
      <c r="H278" s="569"/>
      <c r="I278" s="569"/>
      <c r="J278" s="569"/>
      <c r="K278" s="569"/>
      <c r="L278" s="569"/>
      <c r="M278" s="569"/>
      <c r="N278" s="569"/>
      <c r="O278" s="569"/>
      <c r="P278" s="602"/>
      <c r="Q278" s="569"/>
      <c r="R278" s="569"/>
      <c r="T278" s="767">
        <f>T253+T277</f>
        <v>-78274496</v>
      </c>
    </row>
    <row r="279" spans="1:20" s="455" customFormat="1" ht="13.15" hidden="1" customHeight="1">
      <c r="A279" s="601"/>
      <c r="B279" s="601"/>
      <c r="C279" s="601"/>
      <c r="D279" s="569"/>
      <c r="E279" s="569"/>
      <c r="F279" s="569"/>
      <c r="G279" s="569"/>
      <c r="H279" s="569"/>
      <c r="I279" s="569"/>
      <c r="J279" s="569"/>
      <c r="K279" s="569"/>
      <c r="L279" s="569"/>
      <c r="M279" s="569"/>
      <c r="N279" s="569"/>
      <c r="O279" s="569"/>
      <c r="P279" s="602"/>
      <c r="Q279" s="569"/>
      <c r="R279" s="569"/>
    </row>
    <row r="280" spans="1:20" s="455" customFormat="1" ht="13.15" hidden="1" customHeight="1">
      <c r="A280" s="601"/>
      <c r="B280" s="601"/>
      <c r="C280" s="601"/>
      <c r="D280" s="569"/>
      <c r="E280" s="569"/>
      <c r="F280" s="569"/>
      <c r="G280" s="569"/>
      <c r="H280" s="569"/>
      <c r="I280" s="569"/>
      <c r="J280" s="569"/>
      <c r="K280" s="569"/>
      <c r="L280" s="569"/>
      <c r="M280" s="569"/>
      <c r="N280" s="569"/>
      <c r="O280" s="753"/>
      <c r="P280" s="602"/>
      <c r="Q280" s="569"/>
      <c r="R280" s="569"/>
    </row>
    <row r="281" spans="1:20" s="455" customFormat="1" ht="13.15" hidden="1" customHeight="1">
      <c r="A281" s="601"/>
      <c r="B281" s="601"/>
      <c r="C281" s="601"/>
      <c r="D281" s="569"/>
      <c r="E281" s="569"/>
      <c r="F281" s="569"/>
      <c r="G281" s="569"/>
      <c r="H281" s="569"/>
      <c r="I281" s="569"/>
      <c r="J281" s="569"/>
      <c r="K281" s="569"/>
      <c r="L281" s="569"/>
      <c r="M281" s="569"/>
      <c r="N281" s="569"/>
      <c r="O281" s="569"/>
      <c r="P281" s="602"/>
      <c r="Q281" s="569"/>
      <c r="R281" s="569"/>
    </row>
    <row r="282" spans="1:20" s="455" customFormat="1" ht="13.15" hidden="1" customHeight="1">
      <c r="A282" s="601"/>
      <c r="B282" s="601"/>
      <c r="C282" s="601"/>
      <c r="D282" s="569"/>
      <c r="E282" s="569"/>
      <c r="F282" s="569"/>
      <c r="G282" s="569"/>
      <c r="H282" s="569"/>
      <c r="I282" s="569"/>
      <c r="J282" s="569"/>
      <c r="K282" s="569"/>
      <c r="L282" s="569"/>
      <c r="M282" s="569"/>
      <c r="N282" s="569"/>
      <c r="O282" s="569"/>
      <c r="P282" s="602"/>
      <c r="Q282" s="569"/>
      <c r="R282" s="569"/>
    </row>
    <row r="283" spans="1:20" s="455" customFormat="1" ht="13.15" hidden="1" customHeight="1">
      <c r="A283" s="601"/>
      <c r="B283" s="601"/>
      <c r="C283" s="601"/>
      <c r="D283" s="569"/>
      <c r="E283" s="569"/>
      <c r="F283" s="569"/>
      <c r="G283" s="569"/>
      <c r="H283" s="569"/>
      <c r="I283" s="569"/>
      <c r="J283" s="569"/>
      <c r="K283" s="569"/>
      <c r="L283" s="569"/>
      <c r="M283" s="569"/>
      <c r="N283" s="569"/>
      <c r="O283" s="569"/>
      <c r="P283" s="602"/>
      <c r="Q283" s="753">
        <f>Q123+Q153+Q159+Q183+Q187+Q188+Q190+Q192+Q196+Q197</f>
        <v>243196614</v>
      </c>
      <c r="R283" s="569"/>
    </row>
    <row r="284" spans="1:20" ht="13.15" hidden="1" customHeight="1"/>
    <row r="285" spans="1:20" ht="13.15" hidden="1" customHeight="1"/>
    <row r="286" spans="1:20" ht="13.15" hidden="1" customHeight="1"/>
    <row r="287" spans="1:20" ht="13.15" hidden="1" customHeight="1">
      <c r="J287" s="992">
        <f>SUBTOTAL(9,J123:J221)</f>
        <v>3646856440.6999998</v>
      </c>
    </row>
    <row r="288" spans="1:20" hidden="1"/>
    <row r="289" spans="4:4" hidden="1"/>
    <row r="290" spans="4:4" hidden="1"/>
    <row r="291" spans="4:4" hidden="1"/>
    <row r="292" spans="4:4" hidden="1"/>
    <row r="293" spans="4:4" hidden="1"/>
    <row r="294" spans="4:4" hidden="1"/>
    <row r="295" spans="4:4" hidden="1">
      <c r="D295" s="1151"/>
    </row>
    <row r="296" spans="4:4" hidden="1"/>
    <row r="297" spans="4:4" hidden="1"/>
    <row r="298" spans="4:4" hidden="1"/>
    <row r="299" spans="4:4" hidden="1"/>
    <row r="300" spans="4:4" hidden="1"/>
    <row r="301" spans="4:4" hidden="1"/>
    <row r="302" spans="4:4" hidden="1"/>
    <row r="303" spans="4:4" hidden="1"/>
    <row r="304" spans="4:4" hidden="1"/>
    <row r="305" spans="4:47" hidden="1"/>
    <row r="306" spans="4:47" hidden="1"/>
    <row r="307" spans="4:47" hidden="1">
      <c r="D307" s="1150"/>
    </row>
    <row r="308" spans="4:47" hidden="1">
      <c r="D308" s="1150"/>
    </row>
    <row r="309" spans="4:47">
      <c r="R309" s="1448"/>
      <c r="S309" s="1449"/>
      <c r="T309" s="1449"/>
      <c r="U309" s="1449"/>
      <c r="V309" s="1449"/>
      <c r="W309" s="1449"/>
      <c r="X309" s="1449"/>
      <c r="Y309" s="1449"/>
      <c r="Z309" s="1449"/>
      <c r="AA309" s="1449"/>
      <c r="AB309" s="1449"/>
      <c r="AC309" s="1449"/>
      <c r="AD309" s="1449"/>
      <c r="AE309" s="1449"/>
      <c r="AF309" s="1449"/>
      <c r="AG309" s="1449"/>
      <c r="AH309" s="1449"/>
      <c r="AI309" s="1449"/>
      <c r="AJ309" s="1449"/>
      <c r="AK309" s="1449"/>
      <c r="AL309" s="1449"/>
      <c r="AM309" s="1449"/>
      <c r="AN309" s="1449"/>
      <c r="AO309" s="1449"/>
      <c r="AP309" s="1449"/>
      <c r="AQ309" s="1449"/>
      <c r="AR309" s="1449"/>
      <c r="AS309" s="1449"/>
      <c r="AT309" s="1449"/>
      <c r="AU309" s="1449"/>
    </row>
    <row r="310" spans="4:47">
      <c r="R310" s="1448"/>
      <c r="S310" s="1449"/>
      <c r="T310" s="1449"/>
      <c r="U310" s="1449"/>
      <c r="V310" s="1449"/>
      <c r="W310" s="1449"/>
      <c r="X310" s="1449"/>
      <c r="Y310" s="1449"/>
      <c r="Z310" s="1449"/>
      <c r="AA310" s="1449"/>
      <c r="AB310" s="1449"/>
      <c r="AC310" s="1449"/>
      <c r="AD310" s="1449"/>
      <c r="AE310" s="1449"/>
      <c r="AF310" s="1449"/>
      <c r="AG310" s="1449"/>
      <c r="AH310" s="1449"/>
      <c r="AI310" s="1449"/>
      <c r="AJ310" s="1449"/>
      <c r="AK310" s="1449"/>
      <c r="AL310" s="1449"/>
      <c r="AM310" s="1449"/>
      <c r="AN310" s="1449"/>
      <c r="AO310" s="1449"/>
      <c r="AP310" s="1449"/>
      <c r="AQ310" s="1449"/>
      <c r="AR310" s="1449"/>
      <c r="AS310" s="1449"/>
      <c r="AT310" s="1449"/>
      <c r="AU310" s="1449"/>
    </row>
    <row r="311" spans="4:47">
      <c r="R311" s="1448"/>
      <c r="S311" s="1449"/>
      <c r="T311" s="1449"/>
      <c r="U311" s="1449"/>
      <c r="V311" s="1449"/>
      <c r="W311" s="1449"/>
      <c r="X311" s="1449"/>
      <c r="Y311" s="1449"/>
      <c r="Z311" s="1449"/>
      <c r="AA311" s="1449"/>
      <c r="AB311" s="1449"/>
      <c r="AC311" s="1449"/>
      <c r="AD311" s="1449"/>
      <c r="AE311" s="1449"/>
      <c r="AF311" s="1449"/>
      <c r="AG311" s="1449"/>
      <c r="AH311" s="1449"/>
      <c r="AI311" s="1449"/>
      <c r="AJ311" s="1449"/>
      <c r="AK311" s="1449"/>
      <c r="AL311" s="1449"/>
      <c r="AM311" s="1449"/>
      <c r="AN311" s="1449"/>
      <c r="AO311" s="1449"/>
      <c r="AP311" s="1449"/>
      <c r="AQ311" s="1449"/>
      <c r="AR311" s="1449"/>
      <c r="AS311" s="1449"/>
      <c r="AT311" s="1449"/>
      <c r="AU311" s="1449"/>
    </row>
    <row r="312" spans="4:47">
      <c r="R312" s="1448"/>
      <c r="S312" s="1449"/>
      <c r="T312" s="1449"/>
      <c r="U312" s="1449"/>
      <c r="V312" s="1449"/>
      <c r="W312" s="1449"/>
      <c r="X312" s="1449"/>
      <c r="Y312" s="1449"/>
      <c r="Z312" s="1449"/>
      <c r="AA312" s="1449"/>
      <c r="AB312" s="1449"/>
      <c r="AC312" s="1449"/>
      <c r="AD312" s="1449"/>
      <c r="AE312" s="1449"/>
      <c r="AF312" s="1449"/>
      <c r="AG312" s="1449"/>
      <c r="AH312" s="1449"/>
      <c r="AI312" s="1449"/>
      <c r="AJ312" s="1449"/>
      <c r="AK312" s="1449"/>
      <c r="AL312" s="1449"/>
      <c r="AM312" s="1449"/>
      <c r="AN312" s="1449"/>
      <c r="AO312" s="1449"/>
      <c r="AP312" s="1449"/>
      <c r="AQ312" s="1449"/>
      <c r="AR312" s="1449"/>
      <c r="AS312" s="1449"/>
      <c r="AT312" s="1449"/>
      <c r="AU312" s="1449"/>
    </row>
    <row r="313" spans="4:47">
      <c r="E313" s="1291"/>
      <c r="F313" s="1291"/>
      <c r="G313" s="1291"/>
      <c r="H313" s="1291"/>
      <c r="I313" s="1291"/>
      <c r="J313" s="1291"/>
      <c r="K313" s="1291"/>
      <c r="L313" s="1291"/>
      <c r="M313" s="1291"/>
      <c r="N313" s="1291"/>
      <c r="O313" s="1291"/>
      <c r="P313" s="1291"/>
      <c r="Q313" s="1291"/>
      <c r="R313" s="1448"/>
      <c r="S313" s="1449"/>
      <c r="T313" s="1449"/>
      <c r="U313" s="1449"/>
      <c r="V313" s="1449"/>
      <c r="W313" s="1449"/>
      <c r="X313" s="1449"/>
      <c r="Y313" s="1449"/>
      <c r="Z313" s="1449"/>
      <c r="AA313" s="1449"/>
      <c r="AB313" s="1449"/>
      <c r="AC313" s="1449"/>
      <c r="AD313" s="1449"/>
      <c r="AE313" s="1449"/>
      <c r="AF313" s="1449"/>
      <c r="AG313" s="1449"/>
      <c r="AH313" s="1449"/>
      <c r="AI313" s="1449"/>
      <c r="AJ313" s="1449"/>
      <c r="AK313" s="1449"/>
      <c r="AL313" s="1449"/>
      <c r="AM313" s="1449"/>
      <c r="AN313" s="1449"/>
      <c r="AO313" s="1449"/>
      <c r="AP313" s="1449"/>
      <c r="AQ313" s="1449"/>
      <c r="AR313" s="1449"/>
      <c r="AS313" s="1449"/>
      <c r="AT313" s="1449"/>
      <c r="AU313" s="1449"/>
    </row>
    <row r="314" spans="4:47">
      <c r="R314" s="1448"/>
      <c r="S314" s="1449"/>
      <c r="T314" s="1449"/>
      <c r="U314" s="1449"/>
      <c r="V314" s="1449"/>
      <c r="W314" s="1449"/>
      <c r="X314" s="1449"/>
      <c r="Y314" s="1449"/>
      <c r="Z314" s="1449"/>
      <c r="AA314" s="1449"/>
      <c r="AB314" s="1449"/>
      <c r="AC314" s="1449"/>
      <c r="AD314" s="1449"/>
      <c r="AE314" s="1449"/>
      <c r="AF314" s="1449"/>
      <c r="AG314" s="1449"/>
      <c r="AH314" s="1449"/>
      <c r="AI314" s="1449"/>
      <c r="AJ314" s="1449"/>
      <c r="AK314" s="1449"/>
      <c r="AL314" s="1449"/>
      <c r="AM314" s="1449"/>
      <c r="AN314" s="1449"/>
      <c r="AO314" s="1449"/>
      <c r="AP314" s="1449"/>
      <c r="AQ314" s="1449"/>
      <c r="AR314" s="1449"/>
      <c r="AS314" s="1449"/>
      <c r="AT314" s="1449"/>
      <c r="AU314" s="1449"/>
    </row>
    <row r="315" spans="4:47">
      <c r="R315" s="1448"/>
      <c r="S315" s="1449"/>
      <c r="T315" s="1449"/>
      <c r="U315" s="1449"/>
      <c r="V315" s="1449"/>
      <c r="W315" s="1449"/>
      <c r="X315" s="1449"/>
      <c r="Y315" s="1449"/>
      <c r="Z315" s="1449"/>
      <c r="AA315" s="1449"/>
      <c r="AB315" s="1449"/>
      <c r="AC315" s="1449"/>
      <c r="AD315" s="1449"/>
      <c r="AE315" s="1449"/>
      <c r="AF315" s="1449"/>
      <c r="AG315" s="1449"/>
      <c r="AH315" s="1449"/>
      <c r="AI315" s="1449"/>
      <c r="AJ315" s="1449"/>
      <c r="AK315" s="1449"/>
      <c r="AL315" s="1449"/>
      <c r="AM315" s="1449"/>
      <c r="AN315" s="1449"/>
      <c r="AO315" s="1449"/>
      <c r="AP315" s="1449"/>
      <c r="AQ315" s="1449"/>
      <c r="AR315" s="1449"/>
      <c r="AS315" s="1449"/>
      <c r="AT315" s="1449"/>
      <c r="AU315" s="1449"/>
    </row>
    <row r="316" spans="4:47">
      <c r="R316" s="1448"/>
      <c r="S316" s="1449"/>
      <c r="T316" s="1449"/>
      <c r="U316" s="1449"/>
      <c r="V316" s="1449"/>
      <c r="W316" s="1449"/>
      <c r="X316" s="1449"/>
      <c r="Y316" s="1449"/>
      <c r="Z316" s="1449"/>
      <c r="AA316" s="1449"/>
      <c r="AB316" s="1449"/>
      <c r="AC316" s="1449"/>
      <c r="AD316" s="1449"/>
      <c r="AE316" s="1449"/>
      <c r="AF316" s="1449"/>
      <c r="AG316" s="1449"/>
      <c r="AH316" s="1449"/>
      <c r="AI316" s="1449"/>
      <c r="AJ316" s="1449"/>
      <c r="AK316" s="1449"/>
      <c r="AL316" s="1449"/>
      <c r="AM316" s="1449"/>
      <c r="AN316" s="1449"/>
      <c r="AO316" s="1449"/>
      <c r="AP316" s="1449"/>
      <c r="AQ316" s="1449"/>
      <c r="AR316" s="1449"/>
      <c r="AS316" s="1449"/>
      <c r="AT316" s="1449"/>
      <c r="AU316" s="1449"/>
    </row>
    <row r="317" spans="4:47">
      <c r="R317" s="1448"/>
      <c r="S317" s="1449"/>
      <c r="T317" s="1449"/>
      <c r="U317" s="1449"/>
      <c r="V317" s="1449"/>
      <c r="W317" s="1449"/>
      <c r="X317" s="1449"/>
      <c r="Y317" s="1449"/>
      <c r="Z317" s="1449"/>
      <c r="AA317" s="1449"/>
      <c r="AB317" s="1449"/>
      <c r="AC317" s="1449"/>
      <c r="AD317" s="1449"/>
      <c r="AE317" s="1449"/>
      <c r="AF317" s="1449"/>
      <c r="AG317" s="1449"/>
      <c r="AH317" s="1449"/>
      <c r="AI317" s="1449"/>
      <c r="AJ317" s="1449"/>
      <c r="AK317" s="1449"/>
      <c r="AL317" s="1449"/>
      <c r="AM317" s="1449"/>
      <c r="AN317" s="1449"/>
      <c r="AO317" s="1449"/>
      <c r="AP317" s="1449"/>
      <c r="AQ317" s="1449"/>
      <c r="AR317" s="1449"/>
      <c r="AS317" s="1449"/>
      <c r="AT317" s="1449"/>
      <c r="AU317" s="1449"/>
    </row>
    <row r="318" spans="4:47">
      <c r="R318" s="1448"/>
      <c r="S318" s="1449"/>
      <c r="T318" s="1449"/>
      <c r="U318" s="1449"/>
      <c r="V318" s="1449"/>
      <c r="W318" s="1449"/>
      <c r="X318" s="1449"/>
      <c r="Y318" s="1449"/>
      <c r="Z318" s="1449"/>
      <c r="AA318" s="1449"/>
      <c r="AB318" s="1449"/>
      <c r="AC318" s="1449"/>
      <c r="AD318" s="1449"/>
      <c r="AE318" s="1449"/>
      <c r="AF318" s="1449"/>
      <c r="AG318" s="1449"/>
      <c r="AH318" s="1449"/>
      <c r="AI318" s="1449"/>
      <c r="AJ318" s="1449"/>
      <c r="AK318" s="1449"/>
      <c r="AL318" s="1449"/>
      <c r="AM318" s="1449"/>
      <c r="AN318" s="1449"/>
      <c r="AO318" s="1449"/>
      <c r="AP318" s="1449"/>
      <c r="AQ318" s="1449"/>
      <c r="AR318" s="1449"/>
      <c r="AS318" s="1449"/>
      <c r="AT318" s="1449"/>
      <c r="AU318" s="1449"/>
    </row>
  </sheetData>
  <autoFilter ref="R1:R308">
    <filterColumn colId="0">
      <customFilters and="1">
        <customFilter operator="greaterThan" val="0"/>
      </customFilters>
    </filterColumn>
  </autoFilter>
  <mergeCells count="26">
    <mergeCell ref="A4:Q4"/>
    <mergeCell ref="P10:P12"/>
    <mergeCell ref="E7:I7"/>
    <mergeCell ref="F8:F12"/>
    <mergeCell ref="H10:H12"/>
    <mergeCell ref="I8:I12"/>
    <mergeCell ref="G8:H9"/>
    <mergeCell ref="G10:G12"/>
    <mergeCell ref="L8:M9"/>
    <mergeCell ref="N8:N12"/>
    <mergeCell ref="A7:A12"/>
    <mergeCell ref="E8:E12"/>
    <mergeCell ref="K8:K12"/>
    <mergeCell ref="B7:B12"/>
    <mergeCell ref="C7:C12"/>
    <mergeCell ref="D7:D12"/>
    <mergeCell ref="N1:Q1"/>
    <mergeCell ref="Q7:Q12"/>
    <mergeCell ref="O9:O12"/>
    <mergeCell ref="L10:L12"/>
    <mergeCell ref="M10:M12"/>
    <mergeCell ref="J8:J12"/>
    <mergeCell ref="N2:Q2"/>
    <mergeCell ref="N3:Q3"/>
    <mergeCell ref="J7:P7"/>
    <mergeCell ref="A5:Q5"/>
  </mergeCells>
  <phoneticPr fontId="0" type="noConversion"/>
  <printOptions horizontalCentered="1"/>
  <pageMargins left="0.19685039370078741" right="0.19685039370078741" top="0.39370078740157483" bottom="0.15748031496062992" header="0.15748031496062992" footer="0.15748031496062992"/>
  <pageSetup paperSize="9" scale="45"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CZ147"/>
  <sheetViews>
    <sheetView showZeros="0" view="pageBreakPreview" zoomScale="68" zoomScaleNormal="65" zoomScaleSheetLayoutView="68" workbookViewId="0">
      <pane xSplit="2" ySplit="17" topLeftCell="BM121" activePane="bottomRight" state="frozen"/>
      <selection pane="topRight" activeCell="C1" sqref="C1"/>
      <selection pane="bottomLeft" activeCell="A15" sqref="A15"/>
      <selection pane="bottomRight" activeCell="D125" sqref="D125:J127"/>
    </sheetView>
  </sheetViews>
  <sheetFormatPr defaultRowHeight="23.25"/>
  <cols>
    <col min="1" max="1" width="19.140625" style="7" customWidth="1"/>
    <col min="2" max="2" width="52.28515625" style="7" customWidth="1"/>
    <col min="3" max="3" width="52.28515625" style="7" hidden="1" customWidth="1"/>
    <col min="4" max="4" width="30.5703125" style="7" customWidth="1"/>
    <col min="5" max="5" width="22.28515625" style="7" customWidth="1"/>
    <col min="6" max="6" width="32.85546875" style="7" customWidth="1"/>
    <col min="7" max="7" width="29.85546875" style="7" customWidth="1"/>
    <col min="8" max="8" width="37.7109375" style="7" customWidth="1"/>
    <col min="9" max="9" width="38.28515625" style="7" customWidth="1"/>
    <col min="10" max="10" width="65.5703125" style="7" customWidth="1"/>
    <col min="11" max="11" width="23.85546875" style="7" customWidth="1"/>
    <col min="12" max="12" width="44.5703125" style="7" customWidth="1"/>
    <col min="13" max="13" width="72.28515625" style="7" hidden="1" customWidth="1"/>
    <col min="14" max="14" width="61.140625" style="7" hidden="1" customWidth="1"/>
    <col min="15" max="15" width="67.7109375" style="7" hidden="1" customWidth="1"/>
    <col min="16" max="16" width="38" style="7" customWidth="1"/>
    <col min="17" max="17" width="29.7109375" style="7" customWidth="1"/>
    <col min="18" max="18" width="33.7109375" style="7" customWidth="1"/>
    <col min="19" max="21" width="20.5703125" style="7" customWidth="1"/>
    <col min="22" max="22" width="20.28515625" style="7" customWidth="1"/>
    <col min="23" max="23" width="37" style="7" customWidth="1"/>
    <col min="24" max="24" width="26.42578125" style="7" customWidth="1"/>
    <col min="25" max="26" width="19.28515625" style="7" customWidth="1"/>
    <col min="27" max="27" width="21" style="7" customWidth="1"/>
    <col min="28" max="28" width="35.85546875" style="7" hidden="1" customWidth="1"/>
    <col min="29" max="29" width="26.7109375" style="7" hidden="1" customWidth="1"/>
    <col min="30" max="30" width="30.140625" style="7" customWidth="1"/>
    <col min="31" max="31" width="16.5703125" style="7" customWidth="1"/>
    <col min="32" max="32" width="20.5703125" style="7" customWidth="1"/>
    <col min="33" max="33" width="20.140625" style="7" customWidth="1"/>
    <col min="34" max="34" width="23.85546875" style="7" customWidth="1"/>
    <col min="35" max="35" width="24.85546875" style="7" customWidth="1"/>
    <col min="36" max="36" width="21.5703125" style="7" customWidth="1"/>
    <col min="37" max="37" width="24.42578125" style="7" customWidth="1"/>
    <col min="38" max="38" width="15.7109375" style="7" customWidth="1"/>
    <col min="39" max="39" width="16.7109375" style="7" customWidth="1"/>
    <col min="40" max="40" width="28.42578125" style="7" customWidth="1"/>
    <col min="41" max="41" width="27.28515625" style="7" customWidth="1"/>
    <col min="42" max="42" width="43.42578125" style="7" customWidth="1"/>
    <col min="43" max="43" width="19.42578125" style="7" customWidth="1"/>
    <col min="44" max="44" width="19" style="7" customWidth="1"/>
    <col min="45" max="45" width="17.7109375" style="7" customWidth="1"/>
    <col min="46" max="50" width="18.7109375" style="7" customWidth="1"/>
    <col min="51" max="51" width="45.7109375" style="7" customWidth="1"/>
    <col min="52" max="52" width="52.28515625" style="7" customWidth="1"/>
    <col min="53" max="53" width="40.7109375" style="7" customWidth="1"/>
    <col min="54" max="54" width="35.5703125" style="7" customWidth="1"/>
    <col min="55" max="55" width="29.28515625" style="7" customWidth="1"/>
    <col min="56" max="56" width="26.42578125" style="7" customWidth="1"/>
    <col min="57" max="57" width="23.28515625" style="7" customWidth="1"/>
    <col min="58" max="58" width="24.7109375" style="7" hidden="1" customWidth="1"/>
    <col min="59" max="59" width="26.85546875" style="7" customWidth="1"/>
    <col min="60" max="60" width="23.28515625" style="92" customWidth="1"/>
    <col min="61" max="61" width="20.28515625" style="92" customWidth="1"/>
    <col min="62" max="62" width="18.28515625" style="92" customWidth="1"/>
    <col min="63" max="63" width="22.28515625" style="7" customWidth="1"/>
    <col min="64" max="64" width="20.42578125" style="7" hidden="1" customWidth="1"/>
    <col min="65" max="65" width="17.5703125" style="7" customWidth="1"/>
    <col min="66" max="66" width="23.140625" style="7" hidden="1" customWidth="1"/>
    <col min="67" max="67" width="22.85546875" style="7" customWidth="1"/>
    <col min="68" max="68" width="68" style="7" hidden="1" customWidth="1"/>
    <col min="69" max="69" width="30" style="7" hidden="1" customWidth="1"/>
    <col min="70" max="70" width="32.42578125" style="7" hidden="1" customWidth="1"/>
    <col min="71" max="71" width="0.42578125" style="7" hidden="1" customWidth="1"/>
    <col min="72" max="72" width="5.7109375" style="7" hidden="1" customWidth="1"/>
    <col min="73" max="73" width="31.28515625" style="7" customWidth="1"/>
    <col min="74" max="74" width="26.5703125" style="7" hidden="1" customWidth="1"/>
    <col min="75" max="75" width="22.140625" style="7" customWidth="1"/>
    <col min="76" max="76" width="18" style="92" customWidth="1"/>
    <col min="77" max="77" width="19" style="92" customWidth="1"/>
    <col min="78" max="78" width="18" style="92" customWidth="1"/>
    <col min="79" max="79" width="21.7109375" style="92" customWidth="1"/>
    <col min="80" max="80" width="24.42578125" style="92" customWidth="1"/>
    <col min="81" max="82" width="23.28515625" style="92" hidden="1" customWidth="1"/>
    <col min="83" max="83" width="21.5703125" style="67" customWidth="1"/>
    <col min="84" max="84" width="27.7109375" style="7" customWidth="1"/>
    <col min="85" max="85" width="42.42578125" style="7" customWidth="1"/>
    <col min="86" max="86" width="39.7109375" style="7" customWidth="1"/>
    <col min="87" max="87" width="56" style="7" customWidth="1"/>
    <col min="88" max="88" width="24" style="7" customWidth="1"/>
    <col min="89" max="89" width="20.28515625" style="599" customWidth="1"/>
    <col min="90" max="90" width="19.85546875" style="599" customWidth="1"/>
    <col min="91" max="91" width="20.5703125" style="7" customWidth="1"/>
    <col min="92" max="92" width="20.28515625" style="599" customWidth="1"/>
    <col min="93" max="93" width="21.28515625" style="599" customWidth="1"/>
    <col min="94" max="94" width="18.7109375" style="7" customWidth="1"/>
    <col min="95" max="95" width="9.140625" style="7" customWidth="1"/>
    <col min="96" max="96" width="19.85546875" style="599" customWidth="1"/>
    <col min="97" max="97" width="9.140625" style="7"/>
    <col min="98" max="98" width="28" style="7" customWidth="1"/>
    <col min="99" max="16384" width="9.140625" style="7"/>
  </cols>
  <sheetData>
    <row r="1" spans="1:104" ht="18.75" customHeight="1">
      <c r="B1" s="12"/>
      <c r="C1" s="12"/>
      <c r="D1" s="12"/>
      <c r="E1" s="12"/>
      <c r="F1" s="12"/>
      <c r="G1" s="12"/>
      <c r="H1" s="8" t="s">
        <v>301</v>
      </c>
      <c r="I1" s="8"/>
      <c r="N1" s="14"/>
      <c r="O1" s="14"/>
      <c r="P1" s="14"/>
      <c r="Q1" s="14"/>
      <c r="R1" s="14"/>
      <c r="S1" s="14"/>
      <c r="T1" s="14"/>
      <c r="U1" s="14"/>
      <c r="V1" s="14"/>
      <c r="X1" s="14"/>
      <c r="Y1" s="14"/>
      <c r="Z1" s="14"/>
      <c r="AA1" s="14"/>
      <c r="AB1" s="14"/>
      <c r="AC1" s="14"/>
      <c r="AH1" s="14"/>
      <c r="AI1" s="14"/>
      <c r="AJ1" s="14"/>
      <c r="AK1" s="14"/>
      <c r="AL1" s="14"/>
      <c r="AM1" s="14"/>
      <c r="AN1" s="14"/>
      <c r="AO1" s="14"/>
      <c r="AP1" s="14"/>
      <c r="AQ1" s="14"/>
      <c r="AR1" s="14"/>
      <c r="AS1" s="14"/>
      <c r="AT1" s="14"/>
      <c r="AU1" s="14"/>
      <c r="AV1" s="14"/>
      <c r="AW1" s="14"/>
      <c r="AX1" s="14"/>
      <c r="AY1" s="14"/>
      <c r="AZ1" s="14"/>
      <c r="BA1" s="14"/>
      <c r="BB1" s="14"/>
      <c r="BC1" s="14"/>
      <c r="BD1" s="14"/>
      <c r="BF1" s="14"/>
      <c r="BG1" s="14"/>
      <c r="BH1" s="88"/>
      <c r="BI1" s="88"/>
      <c r="BJ1" s="88"/>
      <c r="BK1" s="14"/>
      <c r="BL1" s="14"/>
      <c r="BM1" s="14"/>
      <c r="BN1" s="14" t="s">
        <v>367</v>
      </c>
      <c r="BO1" s="14"/>
      <c r="BP1" s="14"/>
      <c r="BQ1" s="14"/>
      <c r="BR1" s="14"/>
      <c r="BS1" s="14"/>
      <c r="BT1" s="14"/>
      <c r="BU1" s="14"/>
      <c r="BV1" s="14"/>
      <c r="BW1" s="14"/>
      <c r="BX1" s="88"/>
      <c r="BY1" s="88"/>
      <c r="BZ1" s="88"/>
      <c r="CA1" s="88"/>
      <c r="CB1" s="88"/>
      <c r="CC1" s="88"/>
      <c r="CD1" s="88"/>
      <c r="CE1" s="797"/>
      <c r="CF1" s="14"/>
      <c r="CG1" s="14"/>
      <c r="CH1" s="14"/>
      <c r="CI1" s="14"/>
    </row>
    <row r="2" spans="1:104" ht="17.100000000000001" customHeight="1">
      <c r="H2" s="8" t="s">
        <v>368</v>
      </c>
      <c r="I2" s="8"/>
      <c r="N2" s="14"/>
      <c r="O2" s="14"/>
      <c r="P2" s="14"/>
      <c r="Q2" s="14"/>
      <c r="R2" s="14"/>
      <c r="S2" s="14"/>
      <c r="T2" s="14"/>
      <c r="U2" s="14"/>
      <c r="V2" s="14"/>
      <c r="X2" s="14"/>
      <c r="Y2" s="14"/>
      <c r="Z2" s="14"/>
      <c r="AA2" s="14"/>
      <c r="AB2" s="14"/>
      <c r="AC2" s="14"/>
      <c r="AH2" s="14"/>
      <c r="AI2" s="14"/>
      <c r="AJ2" s="14"/>
      <c r="AK2" s="14"/>
      <c r="AL2" s="14"/>
      <c r="AM2" s="14"/>
      <c r="AN2" s="14"/>
      <c r="AO2" s="14"/>
      <c r="AP2" s="14"/>
      <c r="AQ2" s="14"/>
      <c r="AR2" s="14"/>
      <c r="AS2" s="14"/>
      <c r="AT2" s="14"/>
      <c r="AU2" s="14"/>
      <c r="AV2" s="14"/>
      <c r="AW2" s="14"/>
      <c r="AX2" s="14"/>
      <c r="AY2" s="14"/>
      <c r="AZ2" s="14"/>
      <c r="BA2" s="14"/>
      <c r="BB2" s="14"/>
      <c r="BC2" s="14"/>
      <c r="BD2" s="14"/>
      <c r="BF2" s="14"/>
      <c r="BG2" s="14"/>
      <c r="BH2" s="88"/>
      <c r="BI2" s="88"/>
      <c r="BJ2" s="88"/>
      <c r="BK2" s="14"/>
      <c r="BL2" s="14"/>
      <c r="BM2" s="14"/>
      <c r="BN2" s="14"/>
      <c r="BO2" s="14"/>
      <c r="BP2" s="14"/>
      <c r="BQ2" s="14"/>
      <c r="BR2" s="14"/>
      <c r="BS2" s="14"/>
      <c r="BT2" s="14"/>
      <c r="BU2" s="14"/>
      <c r="BV2" s="14"/>
      <c r="BW2" s="14"/>
      <c r="BX2" s="88"/>
      <c r="BY2" s="88"/>
      <c r="BZ2" s="88"/>
      <c r="CA2" s="88"/>
      <c r="CB2" s="88"/>
      <c r="CC2" s="88"/>
      <c r="CD2" s="88"/>
      <c r="CE2" s="797"/>
      <c r="CF2" s="14"/>
      <c r="CG2" s="14"/>
      <c r="CH2" s="14"/>
      <c r="CI2" s="14"/>
    </row>
    <row r="3" spans="1:104" ht="15" customHeight="1">
      <c r="H3" s="8" t="s">
        <v>2156</v>
      </c>
      <c r="I3" s="8"/>
      <c r="N3" s="14"/>
      <c r="O3" s="14"/>
      <c r="P3" s="14"/>
      <c r="Q3" s="14"/>
      <c r="R3" s="14"/>
      <c r="S3" s="14"/>
      <c r="T3" s="14"/>
      <c r="U3" s="14"/>
      <c r="V3" s="14"/>
      <c r="X3" s="14"/>
      <c r="Y3" s="14"/>
      <c r="Z3" s="14"/>
      <c r="AA3" s="14"/>
      <c r="AB3" s="14"/>
      <c r="AC3" s="14"/>
      <c r="AH3" s="14"/>
      <c r="AI3" s="14"/>
      <c r="AJ3" s="14"/>
      <c r="AK3" s="14"/>
      <c r="AL3" s="14"/>
      <c r="AM3" s="14"/>
      <c r="AN3" s="14"/>
      <c r="AO3" s="14"/>
      <c r="AP3" s="14"/>
      <c r="AQ3" s="14"/>
      <c r="AR3" s="14"/>
      <c r="AS3" s="14"/>
      <c r="AT3" s="14"/>
      <c r="AU3" s="14"/>
      <c r="AV3" s="14"/>
      <c r="AW3" s="14"/>
      <c r="AX3" s="14"/>
      <c r="AY3" s="14"/>
      <c r="AZ3" s="14"/>
      <c r="BA3" s="14"/>
      <c r="BB3" s="14"/>
      <c r="BC3" s="14"/>
      <c r="BD3" s="14"/>
      <c r="BF3" s="14"/>
      <c r="BG3" s="14"/>
      <c r="BH3" s="88"/>
      <c r="BI3" s="88"/>
      <c r="BJ3" s="88"/>
      <c r="BK3" s="14"/>
      <c r="BL3" s="14"/>
      <c r="BM3" s="14"/>
      <c r="BN3" s="14"/>
      <c r="BO3" s="14"/>
      <c r="BP3" s="14"/>
      <c r="BQ3" s="14"/>
      <c r="BR3" s="14"/>
      <c r="BS3" s="14"/>
      <c r="BT3" s="14"/>
      <c r="BU3" s="14"/>
      <c r="BV3" s="14"/>
      <c r="BW3" s="14"/>
      <c r="BX3" s="88"/>
      <c r="BY3" s="88"/>
      <c r="BZ3" s="88"/>
      <c r="CA3" s="88"/>
      <c r="CB3" s="88"/>
      <c r="CC3" s="88"/>
      <c r="CD3" s="88"/>
      <c r="CE3" s="797"/>
      <c r="CF3" s="14"/>
      <c r="CG3" s="14"/>
      <c r="CH3" s="14"/>
      <c r="CI3" s="14"/>
    </row>
    <row r="4" spans="1:104" ht="9.9499999999999993" customHeight="1">
      <c r="J4" s="450"/>
      <c r="K4" s="16"/>
      <c r="L4" s="450"/>
      <c r="M4" s="450"/>
      <c r="N4" s="14"/>
      <c r="O4" s="14"/>
      <c r="P4" s="14"/>
      <c r="Q4" s="14"/>
      <c r="R4" s="14"/>
      <c r="S4" s="14"/>
      <c r="T4" s="14"/>
      <c r="U4" s="14"/>
      <c r="V4" s="14"/>
      <c r="W4" s="450"/>
      <c r="X4" s="14"/>
      <c r="Y4" s="14"/>
      <c r="Z4" s="14"/>
      <c r="AA4" s="14"/>
      <c r="AB4" s="14"/>
      <c r="AC4" s="14"/>
      <c r="AD4" s="450"/>
      <c r="AE4" s="450"/>
      <c r="AF4" s="450"/>
      <c r="AG4" s="450"/>
      <c r="AH4" s="14"/>
      <c r="AI4" s="14"/>
      <c r="AJ4" s="14"/>
      <c r="AK4" s="14"/>
      <c r="AL4" s="14"/>
      <c r="AM4" s="14"/>
      <c r="AN4" s="14"/>
      <c r="AO4" s="14"/>
      <c r="AP4" s="14"/>
      <c r="AQ4" s="14"/>
      <c r="AR4" s="14"/>
      <c r="AS4" s="14"/>
      <c r="AT4" s="14"/>
      <c r="AU4" s="14"/>
      <c r="AV4" s="14"/>
      <c r="AW4" s="14"/>
      <c r="AX4" s="14"/>
      <c r="AY4" s="14"/>
      <c r="AZ4" s="14"/>
      <c r="BA4" s="14"/>
      <c r="BB4" s="14"/>
      <c r="BC4" s="14"/>
      <c r="BD4" s="14"/>
      <c r="BE4" s="450"/>
      <c r="BF4" s="14"/>
      <c r="BG4" s="14"/>
      <c r="BH4" s="88"/>
      <c r="BI4" s="88"/>
      <c r="BJ4" s="88"/>
      <c r="BK4" s="14"/>
      <c r="BL4" s="14"/>
      <c r="BM4" s="14"/>
      <c r="BN4" s="14"/>
      <c r="BO4" s="14"/>
      <c r="BP4" s="14"/>
      <c r="BQ4" s="14"/>
      <c r="BR4" s="14"/>
      <c r="BS4" s="14"/>
      <c r="BT4" s="14"/>
      <c r="BU4" s="14"/>
      <c r="BV4" s="14"/>
      <c r="BW4" s="14"/>
      <c r="BX4" s="88"/>
      <c r="BY4" s="88"/>
      <c r="BZ4" s="88"/>
      <c r="CA4" s="88"/>
      <c r="CB4" s="88"/>
      <c r="CC4" s="88"/>
      <c r="CD4" s="88"/>
      <c r="CE4" s="797"/>
      <c r="CF4" s="14"/>
      <c r="CG4" s="14"/>
      <c r="CH4" s="14"/>
      <c r="CI4" s="14"/>
    </row>
    <row r="5" spans="1:104" ht="18.600000000000001" customHeight="1">
      <c r="F5" s="310" t="s">
        <v>1005</v>
      </c>
      <c r="K5" s="15"/>
      <c r="N5" s="14"/>
      <c r="P5" s="14"/>
      <c r="X5" s="14"/>
      <c r="Y5" s="14"/>
      <c r="Z5" s="14"/>
      <c r="AA5" s="14"/>
      <c r="AB5" s="14"/>
      <c r="AC5" s="14"/>
      <c r="AH5" s="14"/>
      <c r="AI5" s="14"/>
      <c r="AJ5" s="14"/>
      <c r="AK5" s="14"/>
      <c r="AL5" s="14"/>
      <c r="AM5" s="14"/>
      <c r="AN5" s="14"/>
      <c r="AO5" s="14"/>
      <c r="AP5" s="14"/>
      <c r="AQ5" s="14"/>
      <c r="AR5" s="14"/>
      <c r="AS5" s="14"/>
      <c r="AT5" s="14"/>
      <c r="AU5" s="14"/>
      <c r="AV5" s="14"/>
      <c r="AW5" s="14"/>
      <c r="AX5" s="14"/>
      <c r="AY5" s="14"/>
      <c r="AZ5" s="14"/>
      <c r="BA5" s="14"/>
      <c r="BB5" s="14"/>
      <c r="BC5" s="14"/>
      <c r="BD5" s="14"/>
      <c r="BE5" s="308"/>
      <c r="BF5" s="14"/>
      <c r="BH5" s="88"/>
      <c r="BI5" s="88"/>
      <c r="BJ5" s="88"/>
      <c r="BK5" s="14"/>
      <c r="BL5" s="14"/>
      <c r="BM5" s="14"/>
      <c r="BN5" s="14"/>
      <c r="BO5" s="14"/>
      <c r="BP5" s="14"/>
      <c r="BX5" s="88"/>
      <c r="BY5" s="88"/>
      <c r="BZ5" s="88"/>
      <c r="CA5" s="88"/>
      <c r="CB5" s="88"/>
      <c r="CC5" s="88"/>
      <c r="CD5" s="88"/>
      <c r="CE5" s="797"/>
      <c r="CF5" s="14"/>
      <c r="CG5" s="14"/>
      <c r="CH5" s="14"/>
      <c r="CI5" s="14"/>
    </row>
    <row r="6" spans="1:104" ht="18.75" customHeight="1">
      <c r="B6" s="78"/>
      <c r="C6" s="78"/>
      <c r="D6" s="78"/>
      <c r="E6" s="78"/>
      <c r="F6" s="78"/>
      <c r="G6" s="78"/>
      <c r="H6" s="128" t="s">
        <v>982</v>
      </c>
      <c r="J6" s="78"/>
      <c r="K6" s="78"/>
      <c r="L6" s="78"/>
      <c r="M6" s="78"/>
      <c r="N6" s="78"/>
      <c r="R6" s="78"/>
      <c r="S6" s="78"/>
      <c r="T6" s="78"/>
      <c r="U6" s="78"/>
      <c r="AB6" s="14"/>
      <c r="AD6" s="78"/>
      <c r="AE6" s="78"/>
      <c r="AF6" s="78"/>
      <c r="AG6" s="78"/>
      <c r="AH6" s="78"/>
      <c r="BD6" s="78"/>
      <c r="BF6" s="78"/>
      <c r="BJ6" s="78"/>
      <c r="BK6" s="78"/>
      <c r="BN6" s="78" t="s">
        <v>300</v>
      </c>
      <c r="BQ6" s="78"/>
      <c r="BT6" s="78" t="s">
        <v>300</v>
      </c>
      <c r="BU6" s="78"/>
      <c r="BV6" s="78"/>
      <c r="CA6" s="89"/>
      <c r="CB6" s="78" t="s">
        <v>367</v>
      </c>
      <c r="CE6" s="89"/>
      <c r="CF6" s="78"/>
      <c r="CG6" s="78"/>
      <c r="CH6" s="78"/>
      <c r="CI6" s="128" t="s">
        <v>982</v>
      </c>
    </row>
    <row r="7" spans="1:104" ht="22.9" customHeight="1">
      <c r="A7" s="1553" t="s">
        <v>151</v>
      </c>
      <c r="B7" s="1553" t="s">
        <v>1007</v>
      </c>
      <c r="C7" s="1608" t="s">
        <v>1006</v>
      </c>
      <c r="D7" s="1608"/>
      <c r="E7" s="1608"/>
      <c r="F7" s="1608"/>
      <c r="G7" s="1608"/>
      <c r="H7" s="1608"/>
      <c r="I7" s="1625" t="s">
        <v>1013</v>
      </c>
      <c r="J7" s="1625"/>
      <c r="K7" s="1625"/>
      <c r="L7" s="1625"/>
      <c r="M7" s="1625"/>
      <c r="N7" s="1625"/>
      <c r="O7" s="1625"/>
      <c r="P7" s="1625"/>
      <c r="Q7" s="1625"/>
      <c r="R7" s="1625"/>
      <c r="S7" s="1625"/>
      <c r="T7" s="1625"/>
      <c r="U7" s="1625"/>
      <c r="V7" s="1625"/>
      <c r="W7" s="1625"/>
      <c r="X7" s="1625"/>
      <c r="Y7" s="1625"/>
      <c r="Z7" s="1625"/>
      <c r="AA7" s="1625"/>
      <c r="AB7" s="1625"/>
      <c r="AC7" s="1625"/>
      <c r="AD7" s="1625"/>
      <c r="AE7" s="1625"/>
      <c r="AF7" s="1625"/>
      <c r="AG7" s="1625"/>
      <c r="AH7" s="1625"/>
      <c r="AI7" s="1625"/>
      <c r="AJ7" s="1625"/>
      <c r="AK7" s="1625"/>
      <c r="AL7" s="1625"/>
      <c r="AM7" s="1625"/>
      <c r="AN7" s="1625"/>
      <c r="AO7" s="1625"/>
      <c r="AP7" s="1625"/>
      <c r="AQ7" s="1625"/>
      <c r="AR7" s="1625"/>
      <c r="AS7" s="1625"/>
      <c r="AT7" s="1625"/>
      <c r="AU7" s="1625"/>
      <c r="AV7" s="1625"/>
      <c r="AW7" s="1625"/>
      <c r="AX7" s="1625"/>
      <c r="AY7" s="1625"/>
      <c r="AZ7" s="1625"/>
      <c r="BA7" s="1625"/>
      <c r="BB7" s="1625"/>
      <c r="BC7" s="1625"/>
      <c r="BD7" s="1625"/>
      <c r="BE7" s="1625"/>
      <c r="BF7" s="1625"/>
      <c r="BG7" s="1625"/>
      <c r="BH7" s="1625"/>
      <c r="BI7" s="1625"/>
      <c r="BJ7" s="1625"/>
      <c r="BK7" s="1625"/>
      <c r="BL7" s="1625"/>
      <c r="BM7" s="1625"/>
      <c r="BN7" s="1625"/>
      <c r="BO7" s="1625"/>
      <c r="BP7" s="1625"/>
      <c r="BQ7" s="1625"/>
      <c r="BR7" s="1625"/>
      <c r="BS7" s="1625"/>
      <c r="BT7" s="1625"/>
      <c r="BU7" s="1625"/>
      <c r="BV7" s="1625"/>
      <c r="BW7" s="1625"/>
      <c r="BX7" s="1625"/>
      <c r="BY7" s="1625"/>
      <c r="BZ7" s="1625"/>
      <c r="CA7" s="1625"/>
      <c r="CB7" s="1625"/>
      <c r="CC7" s="1625"/>
      <c r="CD7" s="1625"/>
      <c r="CE7" s="1625"/>
      <c r="CF7" s="1625"/>
      <c r="CG7" s="1625"/>
      <c r="CH7" s="1625"/>
      <c r="CI7" s="1625"/>
    </row>
    <row r="8" spans="1:104" ht="20.25" hidden="1" customHeight="1">
      <c r="A8" s="1554"/>
      <c r="B8" s="1554"/>
      <c r="C8" s="111"/>
      <c r="D8" s="111"/>
      <c r="E8" s="111"/>
      <c r="F8" s="111"/>
      <c r="G8" s="111"/>
      <c r="H8" s="111"/>
      <c r="I8" s="111"/>
      <c r="J8" s="95"/>
      <c r="K8" s="30"/>
      <c r="L8" s="95"/>
      <c r="M8" s="95"/>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95"/>
      <c r="BG8" s="30"/>
      <c r="BH8" s="928"/>
      <c r="BI8" s="94"/>
      <c r="BJ8" s="94"/>
      <c r="BK8" s="928"/>
      <c r="BL8" s="929"/>
      <c r="BM8" s="929"/>
      <c r="BN8" s="30"/>
      <c r="BO8" s="929"/>
      <c r="BP8" s="95"/>
      <c r="BQ8" s="30"/>
      <c r="BR8" s="30"/>
      <c r="BS8" s="30"/>
      <c r="BT8" s="30"/>
      <c r="BU8" s="30"/>
      <c r="BV8" s="30"/>
      <c r="BW8" s="30"/>
      <c r="BX8" s="94"/>
      <c r="BY8" s="930"/>
      <c r="BZ8" s="930"/>
      <c r="CA8" s="930"/>
      <c r="CB8" s="930"/>
      <c r="CC8" s="94"/>
      <c r="CD8" s="94"/>
      <c r="CE8" s="82"/>
      <c r="CF8" s="30"/>
      <c r="CG8" s="929"/>
      <c r="CH8" s="30"/>
      <c r="CI8" s="931"/>
    </row>
    <row r="9" spans="1:104" ht="20.25" hidden="1" customHeight="1">
      <c r="A9" s="1554"/>
      <c r="B9" s="1554"/>
      <c r="C9" s="111"/>
      <c r="D9" s="111"/>
      <c r="E9" s="111"/>
      <c r="F9" s="111"/>
      <c r="G9" s="111"/>
      <c r="H9" s="111"/>
      <c r="I9" s="111"/>
      <c r="J9" s="95"/>
      <c r="K9" s="30"/>
      <c r="L9" s="95"/>
      <c r="M9" s="95"/>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95"/>
      <c r="BG9" s="30"/>
      <c r="BH9" s="928"/>
      <c r="BI9" s="94"/>
      <c r="BJ9" s="94"/>
      <c r="BK9" s="928"/>
      <c r="BL9" s="929"/>
      <c r="BM9" s="929"/>
      <c r="BN9" s="30"/>
      <c r="BO9" s="929"/>
      <c r="BP9" s="95"/>
      <c r="BQ9" s="30"/>
      <c r="BR9" s="30"/>
      <c r="BS9" s="30"/>
      <c r="BT9" s="30"/>
      <c r="BU9" s="30"/>
      <c r="BV9" s="30"/>
      <c r="BW9" s="30"/>
      <c r="BX9" s="94"/>
      <c r="BY9" s="930"/>
      <c r="BZ9" s="930"/>
      <c r="CA9" s="930"/>
      <c r="CB9" s="930"/>
      <c r="CC9" s="94"/>
      <c r="CD9" s="94"/>
      <c r="CE9" s="82"/>
      <c r="CF9" s="30"/>
      <c r="CG9" s="929"/>
      <c r="CH9" s="30"/>
      <c r="CI9" s="931"/>
    </row>
    <row r="10" spans="1:104" ht="20.25" hidden="1" customHeight="1">
      <c r="A10" s="1554"/>
      <c r="B10" s="1554"/>
      <c r="C10" s="111"/>
      <c r="D10" s="111"/>
      <c r="E10" s="111"/>
      <c r="F10" s="111"/>
      <c r="G10" s="111"/>
      <c r="H10" s="111"/>
      <c r="I10" s="111"/>
      <c r="J10" s="95"/>
      <c r="K10" s="30"/>
      <c r="L10" s="95"/>
      <c r="M10" s="95"/>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95"/>
      <c r="BG10" s="30"/>
      <c r="BH10" s="928"/>
      <c r="BI10" s="94"/>
      <c r="BJ10" s="94"/>
      <c r="BK10" s="928"/>
      <c r="BL10" s="929"/>
      <c r="BM10" s="929"/>
      <c r="BN10" s="30"/>
      <c r="BO10" s="929"/>
      <c r="BP10" s="95"/>
      <c r="BQ10" s="30"/>
      <c r="BR10" s="30"/>
      <c r="BS10" s="30"/>
      <c r="BT10" s="30"/>
      <c r="BU10" s="30"/>
      <c r="BV10" s="30"/>
      <c r="BW10" s="30"/>
      <c r="BX10" s="94"/>
      <c r="BY10" s="930"/>
      <c r="BZ10" s="930"/>
      <c r="CA10" s="930"/>
      <c r="CB10" s="930"/>
      <c r="CC10" s="94"/>
      <c r="CD10" s="94"/>
      <c r="CE10" s="82"/>
      <c r="CF10" s="30"/>
      <c r="CG10" s="929"/>
      <c r="CH10" s="30"/>
      <c r="CI10" s="931"/>
    </row>
    <row r="11" spans="1:104" ht="20.25" customHeight="1">
      <c r="A11" s="1554"/>
      <c r="B11" s="1554"/>
      <c r="C11" s="1643" t="s">
        <v>1008</v>
      </c>
      <c r="D11" s="1648" t="s">
        <v>1009</v>
      </c>
      <c r="E11" s="1649"/>
      <c r="F11" s="1649"/>
      <c r="G11" s="1650"/>
      <c r="H11" s="1553" t="s">
        <v>991</v>
      </c>
      <c r="I11" s="1607" t="s">
        <v>1014</v>
      </c>
      <c r="J11" s="1626" t="s">
        <v>1009</v>
      </c>
      <c r="K11" s="1626"/>
      <c r="L11" s="1626"/>
      <c r="M11" s="1626"/>
      <c r="N11" s="1626"/>
      <c r="O11" s="1626"/>
      <c r="P11" s="1626"/>
      <c r="Q11" s="1626"/>
      <c r="R11" s="1626"/>
      <c r="S11" s="1626"/>
      <c r="T11" s="1626"/>
      <c r="U11" s="1626"/>
      <c r="V11" s="1626"/>
      <c r="W11" s="1626"/>
      <c r="X11" s="1626"/>
      <c r="Y11" s="1626"/>
      <c r="Z11" s="1626"/>
      <c r="AA11" s="1626"/>
      <c r="AB11" s="1626"/>
      <c r="AC11" s="1626"/>
      <c r="AD11" s="1626"/>
      <c r="AE11" s="1626"/>
      <c r="AF11" s="1626"/>
      <c r="AG11" s="1626"/>
      <c r="AH11" s="1626"/>
      <c r="AI11" s="1626"/>
      <c r="AJ11" s="1626"/>
      <c r="AK11" s="1626"/>
      <c r="AL11" s="1626"/>
      <c r="AM11" s="1626"/>
      <c r="AN11" s="1626"/>
      <c r="AO11" s="1626"/>
      <c r="AP11" s="1626"/>
      <c r="AQ11" s="1626"/>
      <c r="AR11" s="1626"/>
      <c r="AS11" s="1626"/>
      <c r="AT11" s="1626"/>
      <c r="AU11" s="1626"/>
      <c r="AV11" s="1626"/>
      <c r="AW11" s="1626"/>
      <c r="AX11" s="1626"/>
      <c r="AY11" s="1626"/>
      <c r="AZ11" s="1626"/>
      <c r="BA11" s="1626"/>
      <c r="BB11" s="1626"/>
      <c r="BC11" s="1626"/>
      <c r="BD11" s="1626"/>
      <c r="BE11" s="1626"/>
      <c r="BF11" s="1626"/>
      <c r="BG11" s="1626"/>
      <c r="BH11" s="1626"/>
      <c r="BI11" s="1626"/>
      <c r="BJ11" s="1626"/>
      <c r="BK11" s="1626"/>
      <c r="BL11" s="1626"/>
      <c r="BM11" s="1626"/>
      <c r="BN11" s="1626"/>
      <c r="BO11" s="1626"/>
      <c r="BP11" s="1626"/>
      <c r="BQ11" s="1626"/>
      <c r="BR11" s="1626"/>
      <c r="BS11" s="1626"/>
      <c r="BT11" s="1626"/>
      <c r="BU11" s="1626"/>
      <c r="BV11" s="1626"/>
      <c r="BW11" s="1626"/>
      <c r="BX11" s="1626"/>
      <c r="BY11" s="1626"/>
      <c r="BZ11" s="1626"/>
      <c r="CA11" s="1626"/>
      <c r="CB11" s="1626"/>
      <c r="CC11" s="1626"/>
      <c r="CD11" s="1626"/>
      <c r="CE11" s="1626"/>
      <c r="CF11" s="1626"/>
      <c r="CG11" s="1626"/>
      <c r="CH11" s="1626"/>
      <c r="CI11" s="1607" t="s">
        <v>984</v>
      </c>
    </row>
    <row r="12" spans="1:104">
      <c r="A12" s="1554"/>
      <c r="B12" s="1554"/>
      <c r="C12" s="1644"/>
      <c r="D12" s="1607" t="s">
        <v>1011</v>
      </c>
      <c r="E12" s="1607"/>
      <c r="F12" s="1609" t="s">
        <v>1010</v>
      </c>
      <c r="G12" s="1609"/>
      <c r="H12" s="1554"/>
      <c r="I12" s="1607"/>
      <c r="J12" s="1657" t="s">
        <v>1015</v>
      </c>
      <c r="K12" s="1657"/>
      <c r="L12" s="1657"/>
      <c r="M12" s="1657"/>
      <c r="N12" s="1657"/>
      <c r="O12" s="1657"/>
      <c r="P12" s="1657"/>
      <c r="Q12" s="1657"/>
      <c r="R12" s="1657"/>
      <c r="S12" s="1657"/>
      <c r="T12" s="1657"/>
      <c r="U12" s="1657"/>
      <c r="V12" s="1657"/>
      <c r="W12" s="1657"/>
      <c r="X12" s="1657"/>
      <c r="Y12" s="1657"/>
      <c r="Z12" s="1657"/>
      <c r="AA12" s="1657"/>
      <c r="AB12" s="1657"/>
      <c r="AC12" s="1657"/>
      <c r="AD12" s="1657"/>
      <c r="AE12" s="1657"/>
      <c r="AF12" s="1657"/>
      <c r="AG12" s="1657"/>
      <c r="AH12" s="1657"/>
      <c r="AI12" s="1657"/>
      <c r="AJ12" s="1657"/>
      <c r="AK12" s="1657"/>
      <c r="AL12" s="1657"/>
      <c r="AM12" s="1657"/>
      <c r="AN12" s="1657"/>
      <c r="AO12" s="1657"/>
      <c r="AP12" s="1657"/>
      <c r="AQ12" s="1657"/>
      <c r="AR12" s="1657"/>
      <c r="AS12" s="1657"/>
      <c r="AT12" s="1657"/>
      <c r="AU12" s="1657"/>
      <c r="AV12" s="1657"/>
      <c r="AW12" s="1657"/>
      <c r="AX12" s="1657"/>
      <c r="AY12" s="1657"/>
      <c r="AZ12" s="1657"/>
      <c r="BA12" s="1657"/>
      <c r="BB12" s="1657"/>
      <c r="BC12" s="1657"/>
      <c r="BD12" s="1657"/>
      <c r="BE12" s="1657"/>
      <c r="BF12" s="1657"/>
      <c r="BG12" s="1657"/>
      <c r="BH12" s="1657"/>
      <c r="BI12" s="1657"/>
      <c r="BJ12" s="1657"/>
      <c r="BK12" s="1657"/>
      <c r="BL12" s="1657"/>
      <c r="BM12" s="1657"/>
      <c r="BN12" s="1657"/>
      <c r="BO12" s="1129" t="s">
        <v>1016</v>
      </c>
      <c r="BP12" s="1129"/>
      <c r="BQ12" s="1129"/>
      <c r="BR12" s="1129"/>
      <c r="BS12" s="1129"/>
      <c r="BT12" s="1129"/>
      <c r="BU12" s="1421"/>
      <c r="BV12" s="1422"/>
      <c r="BW12" s="1422"/>
      <c r="BX12" s="1422"/>
      <c r="BY12" s="1422"/>
      <c r="BZ12" s="1422"/>
      <c r="CA12" s="1422"/>
      <c r="CB12" s="1422"/>
      <c r="CC12" s="1422"/>
      <c r="CD12" s="1422"/>
      <c r="CE12" s="1422"/>
      <c r="CF12" s="1422"/>
      <c r="CG12" s="1422"/>
      <c r="CH12" s="1423"/>
      <c r="CI12" s="1607"/>
    </row>
    <row r="13" spans="1:104">
      <c r="A13" s="1554"/>
      <c r="B13" s="1554"/>
      <c r="C13" s="1614" t="s">
        <v>1012</v>
      </c>
      <c r="D13" s="1614"/>
      <c r="E13" s="1614"/>
      <c r="F13" s="1614"/>
      <c r="G13" s="1614"/>
      <c r="H13" s="1554"/>
      <c r="I13" s="1651" t="s">
        <v>1012</v>
      </c>
      <c r="J13" s="1651"/>
      <c r="K13" s="1651"/>
      <c r="L13" s="1651"/>
      <c r="M13" s="1651"/>
      <c r="N13" s="1651"/>
      <c r="O13" s="1651"/>
      <c r="P13" s="1651"/>
      <c r="Q13" s="1651"/>
      <c r="R13" s="1651"/>
      <c r="S13" s="1651"/>
      <c r="T13" s="1651"/>
      <c r="U13" s="1651"/>
      <c r="V13" s="1651"/>
      <c r="W13" s="1651"/>
      <c r="X13" s="1651"/>
      <c r="Y13" s="1651"/>
      <c r="Z13" s="1651"/>
      <c r="AA13" s="1651"/>
      <c r="AB13" s="1651"/>
      <c r="AC13" s="1651"/>
      <c r="AD13" s="1651"/>
      <c r="AE13" s="1651"/>
      <c r="AF13" s="1651"/>
      <c r="AG13" s="1651"/>
      <c r="AH13" s="1651"/>
      <c r="AI13" s="1651"/>
      <c r="AJ13" s="1651"/>
      <c r="AK13" s="1651"/>
      <c r="AL13" s="1651"/>
      <c r="AM13" s="1651"/>
      <c r="AN13" s="1651"/>
      <c r="AO13" s="1651"/>
      <c r="AP13" s="1651"/>
      <c r="AQ13" s="1651"/>
      <c r="AR13" s="1651"/>
      <c r="AS13" s="1651"/>
      <c r="AT13" s="1651"/>
      <c r="AU13" s="1651"/>
      <c r="AV13" s="1651"/>
      <c r="AW13" s="1651"/>
      <c r="AX13" s="1651"/>
      <c r="AY13" s="1651"/>
      <c r="AZ13" s="1651"/>
      <c r="BA13" s="1651"/>
      <c r="BB13" s="1651"/>
      <c r="BC13" s="1651"/>
      <c r="BD13" s="1651"/>
      <c r="BE13" s="1651"/>
      <c r="BF13" s="1651"/>
      <c r="BG13" s="1651"/>
      <c r="BH13" s="1651"/>
      <c r="BI13" s="1652"/>
      <c r="BJ13" s="1652"/>
      <c r="BK13" s="1652"/>
      <c r="BL13" s="1652"/>
      <c r="BM13" s="1652"/>
      <c r="BN13" s="1652"/>
      <c r="BO13" s="1651"/>
      <c r="BP13" s="1651"/>
      <c r="BQ13" s="1651"/>
      <c r="BR13" s="1651"/>
      <c r="BS13" s="1651"/>
      <c r="BT13" s="1651"/>
      <c r="BU13" s="1651"/>
      <c r="BV13" s="1651"/>
      <c r="BW13" s="1651"/>
      <c r="BX13" s="1651"/>
      <c r="BY13" s="1651"/>
      <c r="BZ13" s="1651"/>
      <c r="CA13" s="1651"/>
      <c r="CB13" s="1651"/>
      <c r="CC13" s="1651"/>
      <c r="CD13" s="1651"/>
      <c r="CE13" s="1651"/>
      <c r="CF13" s="1651"/>
      <c r="CG13" s="1651"/>
      <c r="CH13" s="1651"/>
      <c r="CI13" s="1607"/>
      <c r="CJ13" s="36"/>
      <c r="CK13" s="1483"/>
      <c r="CL13" s="1483"/>
      <c r="CM13" s="36"/>
      <c r="CN13" s="1483"/>
      <c r="CO13" s="1483"/>
      <c r="CP13" s="36"/>
      <c r="CQ13" s="36"/>
      <c r="CR13" s="1483"/>
      <c r="CS13" s="36"/>
      <c r="CT13" s="36"/>
      <c r="CU13" s="36"/>
      <c r="CV13" s="36"/>
      <c r="CW13" s="36"/>
      <c r="CX13" s="36"/>
      <c r="CY13" s="36"/>
      <c r="CZ13" s="36"/>
    </row>
    <row r="14" spans="1:104" ht="19.899999999999999" customHeight="1">
      <c r="A14" s="1554"/>
      <c r="B14" s="1554"/>
      <c r="C14" s="1640"/>
      <c r="D14" s="1558" t="s">
        <v>402</v>
      </c>
      <c r="E14" s="1645" t="s">
        <v>928</v>
      </c>
      <c r="F14" s="1558" t="s">
        <v>765</v>
      </c>
      <c r="G14" s="1558" t="s">
        <v>402</v>
      </c>
      <c r="H14" s="1554"/>
      <c r="I14" s="1611" t="s">
        <v>721</v>
      </c>
      <c r="J14" s="1611" t="s">
        <v>1192</v>
      </c>
      <c r="K14" s="1611" t="s">
        <v>613</v>
      </c>
      <c r="L14" s="1610" t="s">
        <v>971</v>
      </c>
      <c r="M14" s="1611" t="s">
        <v>943</v>
      </c>
      <c r="N14" s="1611" t="s">
        <v>629</v>
      </c>
      <c r="O14" s="1611" t="s">
        <v>933</v>
      </c>
      <c r="P14" s="1610" t="s">
        <v>972</v>
      </c>
      <c r="Q14" s="1611" t="s">
        <v>1275</v>
      </c>
      <c r="R14" s="1611" t="s">
        <v>850</v>
      </c>
      <c r="S14" s="1611"/>
      <c r="T14" s="1611"/>
      <c r="U14" s="1611"/>
      <c r="V14" s="1611"/>
      <c r="W14" s="1611" t="s">
        <v>889</v>
      </c>
      <c r="X14" s="1612" t="s">
        <v>466</v>
      </c>
      <c r="Y14" s="1613" t="s">
        <v>976</v>
      </c>
      <c r="Z14" s="1613"/>
      <c r="AA14" s="1612" t="s">
        <v>472</v>
      </c>
      <c r="AB14" s="1612" t="s">
        <v>312</v>
      </c>
      <c r="AC14" s="1612" t="s">
        <v>145</v>
      </c>
      <c r="AD14" s="1612" t="s">
        <v>974</v>
      </c>
      <c r="AE14" s="1613" t="s">
        <v>722</v>
      </c>
      <c r="AF14" s="1613"/>
      <c r="AG14" s="1613"/>
      <c r="AH14" s="1612" t="s">
        <v>849</v>
      </c>
      <c r="AI14" s="1612" t="s">
        <v>722</v>
      </c>
      <c r="AJ14" s="1612"/>
      <c r="AK14" s="1612"/>
      <c r="AL14" s="1612"/>
      <c r="AM14" s="1612"/>
      <c r="AN14" s="1612"/>
      <c r="AO14" s="1612"/>
      <c r="AP14" s="1613" t="s">
        <v>915</v>
      </c>
      <c r="AQ14" s="1634" t="s">
        <v>722</v>
      </c>
      <c r="AR14" s="1635"/>
      <c r="AS14" s="1635"/>
      <c r="AT14" s="1635"/>
      <c r="AU14" s="1624"/>
      <c r="AV14" s="1615" t="s">
        <v>2015</v>
      </c>
      <c r="AW14" s="1613" t="s">
        <v>722</v>
      </c>
      <c r="AX14" s="1613"/>
      <c r="AY14" s="1604" t="s">
        <v>2064</v>
      </c>
      <c r="AZ14" s="1604" t="s">
        <v>1194</v>
      </c>
      <c r="BA14" s="1604" t="s">
        <v>2079</v>
      </c>
      <c r="BB14" s="1604" t="s">
        <v>2068</v>
      </c>
      <c r="BC14" s="1613" t="s">
        <v>987</v>
      </c>
      <c r="BD14" s="40" t="s">
        <v>885</v>
      </c>
      <c r="BE14" s="1613" t="s">
        <v>397</v>
      </c>
      <c r="BF14" s="1613" t="s">
        <v>146</v>
      </c>
      <c r="BG14" s="1613" t="s">
        <v>1195</v>
      </c>
      <c r="BH14" s="1618" t="s">
        <v>988</v>
      </c>
      <c r="BI14" s="1631" t="s">
        <v>81</v>
      </c>
      <c r="BJ14" s="1632"/>
      <c r="BK14" s="1632"/>
      <c r="BL14" s="1632"/>
      <c r="BM14" s="1632"/>
      <c r="BN14" s="1633"/>
      <c r="BO14" s="1624" t="s">
        <v>397</v>
      </c>
      <c r="BP14" s="1613" t="s">
        <v>955</v>
      </c>
      <c r="BQ14" s="1611" t="s">
        <v>986</v>
      </c>
      <c r="BR14" s="1622" t="s">
        <v>268</v>
      </c>
      <c r="BS14" s="1622"/>
      <c r="BT14" s="1622"/>
      <c r="BU14" s="1622" t="s">
        <v>980</v>
      </c>
      <c r="BV14" s="1622" t="s">
        <v>888</v>
      </c>
      <c r="BW14" s="1630" t="s">
        <v>895</v>
      </c>
      <c r="BX14" s="1623" t="s">
        <v>988</v>
      </c>
      <c r="BY14" s="1619" t="s">
        <v>356</v>
      </c>
      <c r="BZ14" s="1620"/>
      <c r="CA14" s="1620"/>
      <c r="CB14" s="1620"/>
      <c r="CC14" s="1620"/>
      <c r="CD14" s="1620"/>
      <c r="CE14" s="1620"/>
      <c r="CF14" s="1620"/>
      <c r="CG14" s="1620"/>
      <c r="CH14" s="1621"/>
      <c r="CI14" s="1607"/>
      <c r="CJ14" s="36"/>
      <c r="CK14" s="1484"/>
      <c r="CL14" s="1484"/>
      <c r="CM14" s="1484"/>
      <c r="CN14" s="1484"/>
      <c r="CO14" s="1484"/>
      <c r="CP14" s="36"/>
      <c r="CQ14" s="36"/>
      <c r="CR14" s="1483"/>
      <c r="CS14" s="36"/>
      <c r="CT14" s="36"/>
      <c r="CU14" s="36"/>
      <c r="CV14" s="36"/>
      <c r="CW14" s="36"/>
      <c r="CX14" s="36"/>
      <c r="CY14" s="36"/>
      <c r="CZ14" s="36"/>
    </row>
    <row r="15" spans="1:104" ht="58.9" customHeight="1">
      <c r="A15" s="1554"/>
      <c r="B15" s="1554"/>
      <c r="C15" s="1641"/>
      <c r="D15" s="1558"/>
      <c r="E15" s="1646"/>
      <c r="F15" s="1558"/>
      <c r="G15" s="1558"/>
      <c r="H15" s="1554"/>
      <c r="I15" s="1611"/>
      <c r="J15" s="1611"/>
      <c r="K15" s="1611"/>
      <c r="L15" s="1610"/>
      <c r="M15" s="1611"/>
      <c r="N15" s="1611"/>
      <c r="O15" s="1611"/>
      <c r="P15" s="1610"/>
      <c r="Q15" s="1611"/>
      <c r="R15" s="1577" t="s">
        <v>1274</v>
      </c>
      <c r="S15" s="1612" t="s">
        <v>1892</v>
      </c>
      <c r="T15" s="1655" t="s">
        <v>1293</v>
      </c>
      <c r="U15" s="1653"/>
      <c r="V15" s="1654"/>
      <c r="W15" s="1611"/>
      <c r="X15" s="1612"/>
      <c r="Y15" s="1613" t="s">
        <v>977</v>
      </c>
      <c r="Z15" s="1613" t="s">
        <v>978</v>
      </c>
      <c r="AA15" s="1612"/>
      <c r="AB15" s="1612"/>
      <c r="AC15" s="1612"/>
      <c r="AD15" s="1612"/>
      <c r="AE15" s="1613" t="s">
        <v>1032</v>
      </c>
      <c r="AF15" s="1613" t="s">
        <v>975</v>
      </c>
      <c r="AG15" s="1613" t="s">
        <v>1891</v>
      </c>
      <c r="AH15" s="1612"/>
      <c r="AI15" s="1636" t="s">
        <v>1225</v>
      </c>
      <c r="AJ15" s="1637"/>
      <c r="AK15" s="1612" t="s">
        <v>973</v>
      </c>
      <c r="AL15" s="1636" t="s">
        <v>1221</v>
      </c>
      <c r="AM15" s="1637"/>
      <c r="AN15" s="1628" t="s">
        <v>1222</v>
      </c>
      <c r="AO15" s="1628" t="s">
        <v>1224</v>
      </c>
      <c r="AP15" s="1613"/>
      <c r="AQ15" s="1613" t="s">
        <v>918</v>
      </c>
      <c r="AR15" s="1613" t="s">
        <v>917</v>
      </c>
      <c r="AS15" s="1613" t="s">
        <v>916</v>
      </c>
      <c r="AT15" s="1613" t="s">
        <v>919</v>
      </c>
      <c r="AU15" s="1615" t="s">
        <v>1276</v>
      </c>
      <c r="AV15" s="1616"/>
      <c r="AW15" s="1616" t="s">
        <v>2097</v>
      </c>
      <c r="AX15" s="1616" t="s">
        <v>2150</v>
      </c>
      <c r="AY15" s="1605"/>
      <c r="AZ15" s="1605"/>
      <c r="BA15" s="1605"/>
      <c r="BB15" s="1605"/>
      <c r="BC15" s="1613"/>
      <c r="BD15" s="1613" t="s">
        <v>884</v>
      </c>
      <c r="BE15" s="1613"/>
      <c r="BF15" s="1613"/>
      <c r="BG15" s="1613"/>
      <c r="BH15" s="1618"/>
      <c r="BI15" s="1627" t="s">
        <v>120</v>
      </c>
      <c r="BJ15" s="1617" t="s">
        <v>315</v>
      </c>
      <c r="BK15" s="1627" t="s">
        <v>774</v>
      </c>
      <c r="BL15" s="1627" t="s">
        <v>1272</v>
      </c>
      <c r="BM15" s="1628" t="s">
        <v>1273</v>
      </c>
      <c r="BN15" s="1628"/>
      <c r="BO15" s="1613"/>
      <c r="BP15" s="1613"/>
      <c r="BQ15" s="1611"/>
      <c r="BR15" s="1613"/>
      <c r="BS15" s="1613"/>
      <c r="BT15" s="1613"/>
      <c r="BU15" s="1622"/>
      <c r="BV15" s="1622"/>
      <c r="BW15" s="1630"/>
      <c r="BX15" s="1623"/>
      <c r="BY15" s="1612" t="s">
        <v>141</v>
      </c>
      <c r="BZ15" s="1612" t="s">
        <v>315</v>
      </c>
      <c r="CA15" s="1618" t="s">
        <v>1068</v>
      </c>
      <c r="CB15" s="1613" t="s">
        <v>1079</v>
      </c>
      <c r="CC15" s="1613" t="s">
        <v>820</v>
      </c>
      <c r="CD15" s="1604" t="s">
        <v>1299</v>
      </c>
      <c r="CE15" s="1610" t="s">
        <v>1080</v>
      </c>
      <c r="CF15" s="1610" t="s">
        <v>979</v>
      </c>
      <c r="CG15" s="1611" t="s">
        <v>236</v>
      </c>
      <c r="CH15" s="1611"/>
      <c r="CI15" s="1607"/>
      <c r="CJ15" s="36"/>
      <c r="CK15" s="1484"/>
      <c r="CL15" s="1484"/>
      <c r="CM15" s="1484"/>
      <c r="CN15" s="1484"/>
      <c r="CO15" s="1484"/>
      <c r="CP15" s="36"/>
      <c r="CQ15" s="36"/>
      <c r="CR15" s="1483"/>
      <c r="CS15" s="36"/>
      <c r="CT15" s="36"/>
      <c r="CU15" s="36"/>
      <c r="CV15" s="36"/>
      <c r="CW15" s="36"/>
      <c r="CX15" s="36"/>
      <c r="CY15" s="36"/>
      <c r="CZ15" s="36"/>
    </row>
    <row r="16" spans="1:104" ht="58.9" customHeight="1">
      <c r="A16" s="1554"/>
      <c r="B16" s="1554"/>
      <c r="C16" s="1641"/>
      <c r="D16" s="1558"/>
      <c r="E16" s="1646"/>
      <c r="F16" s="1558"/>
      <c r="G16" s="1558"/>
      <c r="H16" s="1554"/>
      <c r="I16" s="1611"/>
      <c r="J16" s="1611"/>
      <c r="K16" s="1611"/>
      <c r="L16" s="1610"/>
      <c r="M16" s="1611"/>
      <c r="N16" s="1611"/>
      <c r="O16" s="1611"/>
      <c r="P16" s="1610"/>
      <c r="Q16" s="1611"/>
      <c r="R16" s="1656"/>
      <c r="S16" s="1612"/>
      <c r="T16" s="1577" t="s">
        <v>237</v>
      </c>
      <c r="U16" s="1653" t="s">
        <v>1294</v>
      </c>
      <c r="V16" s="1654"/>
      <c r="W16" s="1611"/>
      <c r="X16" s="1612"/>
      <c r="Y16" s="1613"/>
      <c r="Z16" s="1613"/>
      <c r="AA16" s="1612"/>
      <c r="AB16" s="1612"/>
      <c r="AC16" s="1612"/>
      <c r="AD16" s="1612"/>
      <c r="AE16" s="1613"/>
      <c r="AF16" s="1613"/>
      <c r="AG16" s="1613"/>
      <c r="AH16" s="1612"/>
      <c r="AI16" s="1638"/>
      <c r="AJ16" s="1639"/>
      <c r="AK16" s="1612"/>
      <c r="AL16" s="1638"/>
      <c r="AM16" s="1639"/>
      <c r="AN16" s="1627"/>
      <c r="AO16" s="1627"/>
      <c r="AP16" s="1613"/>
      <c r="AQ16" s="1613"/>
      <c r="AR16" s="1613"/>
      <c r="AS16" s="1613"/>
      <c r="AT16" s="1613"/>
      <c r="AU16" s="1616"/>
      <c r="AV16" s="1616"/>
      <c r="AW16" s="1616"/>
      <c r="AX16" s="1616"/>
      <c r="AY16" s="1605"/>
      <c r="AZ16" s="1605"/>
      <c r="BA16" s="1605"/>
      <c r="BB16" s="1605"/>
      <c r="BC16" s="1613"/>
      <c r="BD16" s="1613"/>
      <c r="BE16" s="1613"/>
      <c r="BF16" s="1613"/>
      <c r="BG16" s="1613"/>
      <c r="BH16" s="1618"/>
      <c r="BI16" s="1627"/>
      <c r="BJ16" s="1617"/>
      <c r="BK16" s="1627"/>
      <c r="BL16" s="1627"/>
      <c r="BM16" s="1629"/>
      <c r="BN16" s="1629"/>
      <c r="BO16" s="1613"/>
      <c r="BP16" s="1613"/>
      <c r="BQ16" s="1611"/>
      <c r="BR16" s="1613"/>
      <c r="BS16" s="1613"/>
      <c r="BT16" s="1613"/>
      <c r="BU16" s="1622"/>
      <c r="BV16" s="1622"/>
      <c r="BW16" s="1630"/>
      <c r="BX16" s="1623"/>
      <c r="BY16" s="1612"/>
      <c r="BZ16" s="1612"/>
      <c r="CA16" s="1618"/>
      <c r="CB16" s="1613"/>
      <c r="CC16" s="1613"/>
      <c r="CD16" s="1605"/>
      <c r="CE16" s="1610"/>
      <c r="CF16" s="1610"/>
      <c r="CG16" s="901"/>
      <c r="CH16" s="901"/>
      <c r="CI16" s="1607"/>
      <c r="CJ16" s="36"/>
      <c r="CK16" s="1484"/>
      <c r="CL16" s="1484"/>
      <c r="CM16" s="1484"/>
      <c r="CN16" s="1484"/>
      <c r="CO16" s="1484"/>
      <c r="CP16" s="36"/>
      <c r="CQ16" s="36"/>
      <c r="CR16" s="1483"/>
      <c r="CS16" s="36"/>
      <c r="CT16" s="36"/>
      <c r="CU16" s="36"/>
      <c r="CV16" s="36"/>
      <c r="CW16" s="36"/>
      <c r="CX16" s="36"/>
      <c r="CY16" s="36"/>
      <c r="CZ16" s="36"/>
    </row>
    <row r="17" spans="1:104" ht="211.9" customHeight="1">
      <c r="A17" s="1555"/>
      <c r="B17" s="1555"/>
      <c r="C17" s="1642"/>
      <c r="D17" s="1558"/>
      <c r="E17" s="1647"/>
      <c r="F17" s="1558"/>
      <c r="G17" s="1558"/>
      <c r="H17" s="1555"/>
      <c r="I17" s="1611"/>
      <c r="J17" s="1611"/>
      <c r="K17" s="1611"/>
      <c r="L17" s="1610"/>
      <c r="M17" s="1611"/>
      <c r="N17" s="1611"/>
      <c r="O17" s="1611"/>
      <c r="P17" s="1610"/>
      <c r="Q17" s="1611"/>
      <c r="R17" s="1578"/>
      <c r="S17" s="1612"/>
      <c r="T17" s="1578"/>
      <c r="U17" s="1212" t="s">
        <v>99</v>
      </c>
      <c r="V17" s="1211" t="s">
        <v>100</v>
      </c>
      <c r="W17" s="1611"/>
      <c r="X17" s="1612"/>
      <c r="Y17" s="1613"/>
      <c r="Z17" s="1613"/>
      <c r="AA17" s="1612"/>
      <c r="AB17" s="1612"/>
      <c r="AC17" s="1612"/>
      <c r="AD17" s="1612"/>
      <c r="AE17" s="1613"/>
      <c r="AF17" s="1613"/>
      <c r="AG17" s="1613"/>
      <c r="AH17" s="1612"/>
      <c r="AI17" s="198" t="s">
        <v>99</v>
      </c>
      <c r="AJ17" s="198" t="s">
        <v>100</v>
      </c>
      <c r="AK17" s="1612"/>
      <c r="AL17" s="198" t="s">
        <v>99</v>
      </c>
      <c r="AM17" s="198" t="s">
        <v>100</v>
      </c>
      <c r="AN17" s="198" t="s">
        <v>100</v>
      </c>
      <c r="AO17" s="198" t="s">
        <v>100</v>
      </c>
      <c r="AP17" s="1613"/>
      <c r="AQ17" s="1613"/>
      <c r="AR17" s="1613"/>
      <c r="AS17" s="1613"/>
      <c r="AT17" s="1613"/>
      <c r="AU17" s="1617"/>
      <c r="AV17" s="1617"/>
      <c r="AW17" s="1617"/>
      <c r="AX17" s="1617"/>
      <c r="AY17" s="1606"/>
      <c r="AZ17" s="1606"/>
      <c r="BA17" s="1606"/>
      <c r="BB17" s="1606"/>
      <c r="BC17" s="1613"/>
      <c r="BD17" s="1613"/>
      <c r="BE17" s="1613"/>
      <c r="BF17" s="1613"/>
      <c r="BG17" s="1613"/>
      <c r="BH17" s="1618"/>
      <c r="BI17" s="1612"/>
      <c r="BJ17" s="1613"/>
      <c r="BK17" s="1612"/>
      <c r="BL17" s="1612"/>
      <c r="BM17" s="1627"/>
      <c r="BN17" s="1627"/>
      <c r="BO17" s="1613"/>
      <c r="BP17" s="1613"/>
      <c r="BQ17" s="1611"/>
      <c r="BR17" s="1613"/>
      <c r="BS17" s="1613"/>
      <c r="BT17" s="1613"/>
      <c r="BU17" s="1622"/>
      <c r="BV17" s="1622"/>
      <c r="BW17" s="1630"/>
      <c r="BX17" s="1623"/>
      <c r="BY17" s="1612"/>
      <c r="BZ17" s="1612"/>
      <c r="CA17" s="1618"/>
      <c r="CB17" s="1613"/>
      <c r="CC17" s="1613"/>
      <c r="CD17" s="1606"/>
      <c r="CE17" s="1610"/>
      <c r="CF17" s="1610"/>
      <c r="CG17" s="106" t="s">
        <v>111</v>
      </c>
      <c r="CH17" s="106" t="s">
        <v>112</v>
      </c>
      <c r="CI17" s="1607"/>
      <c r="CJ17" s="1484"/>
      <c r="CK17" s="1484"/>
      <c r="CL17" s="1484"/>
      <c r="CM17" s="1484"/>
      <c r="CN17" s="1484"/>
      <c r="CO17" s="1484"/>
      <c r="CP17" s="36"/>
      <c r="CQ17" s="36"/>
      <c r="CR17" s="1483"/>
      <c r="CS17" s="36"/>
      <c r="CT17" s="36"/>
      <c r="CU17" s="36"/>
      <c r="CV17" s="36"/>
      <c r="CW17" s="36"/>
      <c r="CX17" s="36"/>
      <c r="CY17" s="36"/>
      <c r="CZ17" s="36"/>
    </row>
    <row r="18" spans="1:104" ht="24.75" customHeight="1">
      <c r="A18" s="452" t="s">
        <v>648</v>
      </c>
      <c r="B18" s="1131" t="s">
        <v>1138</v>
      </c>
      <c r="C18" s="202"/>
      <c r="D18" s="202"/>
      <c r="E18" s="202"/>
      <c r="F18" s="415"/>
      <c r="G18" s="415"/>
      <c r="H18" s="415">
        <f>D18+E18+F18+G18</f>
        <v>0</v>
      </c>
      <c r="I18" s="66">
        <v>53585600</v>
      </c>
      <c r="J18" s="66">
        <v>176768300</v>
      </c>
      <c r="K18" s="66">
        <v>219600</v>
      </c>
      <c r="L18" s="66">
        <v>340386800</v>
      </c>
      <c r="M18" s="66"/>
      <c r="N18" s="66"/>
      <c r="O18" s="66"/>
      <c r="P18" s="66">
        <v>4068000</v>
      </c>
      <c r="Q18" s="66">
        <f>SUM(R18:T18)</f>
        <v>439940</v>
      </c>
      <c r="R18" s="66"/>
      <c r="S18" s="66">
        <v>132940</v>
      </c>
      <c r="T18" s="66">
        <f>SUM(U18:V18)</f>
        <v>307000</v>
      </c>
      <c r="U18" s="66">
        <v>307000</v>
      </c>
      <c r="V18" s="66"/>
      <c r="W18" s="51">
        <v>1656821.82</v>
      </c>
      <c r="X18" s="90">
        <f>Y18+Z18</f>
        <v>8309100</v>
      </c>
      <c r="Y18" s="90">
        <v>589600</v>
      </c>
      <c r="Z18" s="90">
        <v>7719500</v>
      </c>
      <c r="AA18" s="90">
        <f>1752900-2800</f>
        <v>1750100</v>
      </c>
      <c r="AB18" s="90"/>
      <c r="AC18" s="90"/>
      <c r="AD18" s="90">
        <f>SUM(AE18:AG18)</f>
        <v>7657840</v>
      </c>
      <c r="AE18" s="90">
        <v>3122240</v>
      </c>
      <c r="AF18" s="90"/>
      <c r="AG18" s="90">
        <f>4461515+74085</f>
        <v>4535600</v>
      </c>
      <c r="AH18" s="90">
        <f>AI18+AK18+AJ18+AL18+AM18+AN18+AO18</f>
        <v>4412900</v>
      </c>
      <c r="AI18" s="90">
        <v>2519500</v>
      </c>
      <c r="AJ18" s="90">
        <v>816900</v>
      </c>
      <c r="AK18" s="90">
        <v>85900</v>
      </c>
      <c r="AL18" s="90">
        <v>358000</v>
      </c>
      <c r="AM18" s="90">
        <v>195000</v>
      </c>
      <c r="AN18" s="90">
        <v>437600</v>
      </c>
      <c r="AO18" s="90"/>
      <c r="AP18" s="90">
        <f>SUM(AQ18:AU18)</f>
        <v>5323245</v>
      </c>
      <c r="AQ18" s="66">
        <v>1238745</v>
      </c>
      <c r="AR18" s="66">
        <v>3416250</v>
      </c>
      <c r="AS18" s="66">
        <v>668250</v>
      </c>
      <c r="AT18" s="90"/>
      <c r="AU18" s="90"/>
      <c r="AV18" s="90"/>
      <c r="AW18" s="90"/>
      <c r="AX18" s="90"/>
      <c r="AY18" s="379">
        <v>3091232.84</v>
      </c>
      <c r="AZ18" s="90">
        <v>938511</v>
      </c>
      <c r="BA18" s="379">
        <v>6955019.1699999999</v>
      </c>
      <c r="BB18" s="90"/>
      <c r="BC18" s="90"/>
      <c r="BD18" s="90"/>
      <c r="BE18" s="90"/>
      <c r="BF18" s="90"/>
      <c r="BG18" s="90"/>
      <c r="BH18" s="90">
        <f>SUM(BI18:BN18)</f>
        <v>8035632</v>
      </c>
      <c r="BI18" s="90">
        <f>667112</f>
        <v>667112</v>
      </c>
      <c r="BJ18" s="90">
        <f>2500000+2100000+190000</f>
        <v>4790000</v>
      </c>
      <c r="BK18" s="90">
        <v>500600</v>
      </c>
      <c r="BL18" s="90"/>
      <c r="BM18" s="90">
        <v>2077920</v>
      </c>
      <c r="BN18" s="90"/>
      <c r="BO18" s="66"/>
      <c r="BP18" s="66"/>
      <c r="BQ18" s="66">
        <f>SUM(BR18:BT18)</f>
        <v>0</v>
      </c>
      <c r="BR18" s="66"/>
      <c r="BS18" s="66"/>
      <c r="BT18" s="66"/>
      <c r="BU18" s="66"/>
      <c r="BV18" s="66"/>
      <c r="BW18" s="66"/>
      <c r="BX18" s="90">
        <f>SUM(BY18:CF18)</f>
        <v>4694500</v>
      </c>
      <c r="BY18" s="90">
        <v>209500</v>
      </c>
      <c r="BZ18" s="90">
        <f>1355000+3130000</f>
        <v>4485000</v>
      </c>
      <c r="CA18" s="90"/>
      <c r="CB18" s="90"/>
      <c r="CC18" s="90"/>
      <c r="CD18" s="90"/>
      <c r="CE18" s="49">
        <f>350000+1000000-350000-1000000</f>
        <v>0</v>
      </c>
      <c r="CF18" s="66">
        <f>CG18+CH18</f>
        <v>0</v>
      </c>
      <c r="CG18" s="66"/>
      <c r="CH18" s="66"/>
      <c r="CI18" s="51">
        <f>I18+J18+K18+L18+N18+P18+Q18+W18+X18+AA18+AB18+AC18+AD18+AH18+BA18+BB18+BC18+BE18+BF18+BH18+BO18+BP18+BQ18+BX18+BV18+BG18+BU18+AP18+BW18+O18+M18+AV18+AY18+AZ18</f>
        <v>628293141.83000004</v>
      </c>
      <c r="CJ18" s="81"/>
      <c r="CK18" s="367"/>
      <c r="CL18" s="367"/>
      <c r="CM18" s="81"/>
      <c r="CN18" s="367"/>
      <c r="CO18" s="367"/>
      <c r="CP18" s="1485"/>
      <c r="CQ18" s="36"/>
      <c r="CR18" s="367"/>
      <c r="CS18" s="36"/>
      <c r="CT18" s="1485"/>
      <c r="CU18" s="1485">
        <f>CT18-CJ18-CM18</f>
        <v>0</v>
      </c>
      <c r="CV18" s="36"/>
      <c r="CW18" s="36"/>
      <c r="CX18" s="36"/>
      <c r="CY18" s="36"/>
      <c r="CZ18" s="36"/>
    </row>
    <row r="19" spans="1:104" ht="24.75" customHeight="1">
      <c r="A19" s="452" t="s">
        <v>649</v>
      </c>
      <c r="B19" s="1131" t="s">
        <v>1139</v>
      </c>
      <c r="C19" s="202"/>
      <c r="D19" s="202"/>
      <c r="E19" s="202"/>
      <c r="F19" s="415"/>
      <c r="G19" s="415"/>
      <c r="H19" s="415">
        <f t="shared" ref="H19:H82" si="0">D19+E19+F19+G19</f>
        <v>0</v>
      </c>
      <c r="I19" s="66">
        <v>20132900</v>
      </c>
      <c r="J19" s="66">
        <v>79552800</v>
      </c>
      <c r="K19" s="66">
        <v>69900</v>
      </c>
      <c r="L19" s="66">
        <v>117691100</v>
      </c>
      <c r="M19" s="66"/>
      <c r="N19" s="66"/>
      <c r="O19" s="66"/>
      <c r="P19" s="66">
        <v>867400</v>
      </c>
      <c r="Q19" s="66">
        <f t="shared" ref="Q19:Q82" si="1">SUM(R19:T19)</f>
        <v>27300</v>
      </c>
      <c r="R19" s="66"/>
      <c r="S19" s="66"/>
      <c r="T19" s="66">
        <f t="shared" ref="T19:T82" si="2">SUM(U19:V19)</f>
        <v>27300</v>
      </c>
      <c r="U19" s="66">
        <v>27300</v>
      </c>
      <c r="V19" s="66"/>
      <c r="W19" s="51">
        <v>374410</v>
      </c>
      <c r="X19" s="66">
        <f t="shared" ref="X19:X82" si="3">Y19+Z19</f>
        <v>1860400</v>
      </c>
      <c r="Y19" s="66">
        <v>133000</v>
      </c>
      <c r="Z19" s="66">
        <v>1727400</v>
      </c>
      <c r="AA19" s="66">
        <f>524500+5648</f>
        <v>530148</v>
      </c>
      <c r="AB19" s="66"/>
      <c r="AC19" s="66"/>
      <c r="AD19" s="90">
        <f t="shared" ref="AD19:AD82" si="4">SUM(AE19:AG19)</f>
        <v>1040760</v>
      </c>
      <c r="AE19" s="66">
        <v>1040760</v>
      </c>
      <c r="AF19" s="66"/>
      <c r="AG19" s="66"/>
      <c r="AH19" s="90">
        <f t="shared" ref="AH19:AH82" si="5">AI19+AK19+AJ19+AL19+AM19+AN19+AO19</f>
        <v>958300</v>
      </c>
      <c r="AI19" s="66">
        <v>319300</v>
      </c>
      <c r="AJ19" s="66">
        <v>103700</v>
      </c>
      <c r="AK19" s="66">
        <v>472100</v>
      </c>
      <c r="AL19" s="66">
        <v>40900</v>
      </c>
      <c r="AM19" s="66">
        <v>22300</v>
      </c>
      <c r="AN19" s="66"/>
      <c r="AO19" s="66"/>
      <c r="AP19" s="90">
        <f t="shared" ref="AP19:AP82" si="6">SUM(AQ19:AU19)</f>
        <v>1625615</v>
      </c>
      <c r="AQ19" s="66">
        <v>385385</v>
      </c>
      <c r="AR19" s="66">
        <v>952830</v>
      </c>
      <c r="AS19" s="66">
        <v>283500</v>
      </c>
      <c r="AT19" s="1219">
        <v>3900</v>
      </c>
      <c r="AU19" s="95"/>
      <c r="AV19" s="95"/>
      <c r="AW19" s="95"/>
      <c r="AX19" s="95"/>
      <c r="AY19" s="51">
        <v>2863166.75</v>
      </c>
      <c r="AZ19" s="95"/>
      <c r="BA19" s="51">
        <v>2288766.0099999998</v>
      </c>
      <c r="BB19" s="66"/>
      <c r="BC19" s="66"/>
      <c r="BD19" s="66"/>
      <c r="BE19" s="66"/>
      <c r="BF19" s="66"/>
      <c r="BG19" s="66"/>
      <c r="BH19" s="90">
        <f t="shared" ref="BH19:BH82" si="7">SUM(BI19:BN19)</f>
        <v>984951</v>
      </c>
      <c r="BI19" s="90">
        <f>125289+12000</f>
        <v>137289</v>
      </c>
      <c r="BJ19" s="66">
        <v>160430</v>
      </c>
      <c r="BK19" s="90">
        <v>94600</v>
      </c>
      <c r="BL19" s="90"/>
      <c r="BM19" s="90">
        <v>592632</v>
      </c>
      <c r="BN19" s="66"/>
      <c r="BO19" s="70"/>
      <c r="BP19" s="66"/>
      <c r="BQ19" s="66">
        <f t="shared" ref="BQ19:BQ82" si="8">SUM(BR19:BT19)</f>
        <v>0</v>
      </c>
      <c r="BR19" s="66"/>
      <c r="BS19" s="66"/>
      <c r="BT19" s="66"/>
      <c r="BU19" s="66"/>
      <c r="BV19" s="66"/>
      <c r="BW19" s="66"/>
      <c r="BX19" s="90">
        <f t="shared" ref="BX19:BX46" si="9">SUM(BY19:CF19)</f>
        <v>1478937</v>
      </c>
      <c r="BY19" s="90">
        <f>501937+27000</f>
        <v>528937</v>
      </c>
      <c r="BZ19" s="90">
        <v>950000</v>
      </c>
      <c r="CA19" s="90"/>
      <c r="CB19" s="90"/>
      <c r="CC19" s="90"/>
      <c r="CD19" s="90"/>
      <c r="CE19" s="49"/>
      <c r="CF19" s="66">
        <f>CG19+CH19</f>
        <v>0</v>
      </c>
      <c r="CG19" s="66"/>
      <c r="CH19" s="66">
        <f>150000-150000</f>
        <v>0</v>
      </c>
      <c r="CI19" s="51">
        <f t="shared" ref="CI19:CI82" si="10">I19+J19+K19+L19+N19+P19+Q19+W19+X19+AA19+AB19+AC19+AD19+AH19+BA19+BB19+BC19+BE19+BF19+BH19+BO19+BP19+BQ19+BX19+BV19+BG19+BU19+AP19+BW19+O19+M19+AV19+AY19+AZ19</f>
        <v>232346853.75999999</v>
      </c>
      <c r="CJ19" s="81"/>
      <c r="CK19" s="367"/>
      <c r="CL19" s="367"/>
      <c r="CM19" s="81"/>
      <c r="CN19" s="367"/>
      <c r="CO19" s="367"/>
      <c r="CP19" s="1485"/>
      <c r="CQ19" s="36"/>
      <c r="CR19" s="367"/>
      <c r="CS19" s="36"/>
      <c r="CT19" s="1485"/>
      <c r="CU19" s="1485">
        <f t="shared" ref="CU19:CU82" si="11">CT19-CJ19-CM19</f>
        <v>0</v>
      </c>
      <c r="CV19" s="36"/>
      <c r="CW19" s="36"/>
      <c r="CX19" s="36"/>
      <c r="CY19" s="36"/>
      <c r="CZ19" s="36"/>
    </row>
    <row r="20" spans="1:104" ht="24.95" customHeight="1">
      <c r="A20" s="452" t="s">
        <v>650</v>
      </c>
      <c r="B20" s="1131" t="s">
        <v>1140</v>
      </c>
      <c r="C20" s="202"/>
      <c r="D20" s="202"/>
      <c r="E20" s="202"/>
      <c r="F20" s="415">
        <f>'дод1.1'!E38</f>
        <v>1402052</v>
      </c>
      <c r="G20" s="415"/>
      <c r="H20" s="415">
        <f t="shared" si="0"/>
        <v>1402052</v>
      </c>
      <c r="I20" s="66">
        <v>15774700</v>
      </c>
      <c r="J20" s="66">
        <v>58096800</v>
      </c>
      <c r="K20" s="66">
        <v>919200</v>
      </c>
      <c r="L20" s="66">
        <v>91272600</v>
      </c>
      <c r="M20" s="66"/>
      <c r="N20" s="69"/>
      <c r="O20" s="70"/>
      <c r="P20" s="66">
        <v>4378000</v>
      </c>
      <c r="Q20" s="66">
        <f t="shared" si="1"/>
        <v>0</v>
      </c>
      <c r="R20" s="66"/>
      <c r="S20" s="66"/>
      <c r="T20" s="66">
        <f t="shared" si="2"/>
        <v>0</v>
      </c>
      <c r="U20" s="66"/>
      <c r="V20" s="66"/>
      <c r="W20" s="51">
        <v>327300</v>
      </c>
      <c r="X20" s="66">
        <f t="shared" si="3"/>
        <v>1660300</v>
      </c>
      <c r="Y20" s="66">
        <v>132500</v>
      </c>
      <c r="Z20" s="66">
        <v>1527800</v>
      </c>
      <c r="AA20" s="66">
        <v>338500</v>
      </c>
      <c r="AB20" s="66"/>
      <c r="AC20" s="66"/>
      <c r="AD20" s="90">
        <f t="shared" si="4"/>
        <v>1040760</v>
      </c>
      <c r="AE20" s="66">
        <v>1040760</v>
      </c>
      <c r="AF20" s="66"/>
      <c r="AG20" s="66">
        <f>22686-22686</f>
        <v>0</v>
      </c>
      <c r="AH20" s="90">
        <f t="shared" si="5"/>
        <v>793000</v>
      </c>
      <c r="AI20" s="66">
        <v>408100</v>
      </c>
      <c r="AJ20" s="66">
        <v>132300</v>
      </c>
      <c r="AK20" s="66"/>
      <c r="AL20" s="66">
        <v>163500</v>
      </c>
      <c r="AM20" s="66">
        <v>89100</v>
      </c>
      <c r="AN20" s="66"/>
      <c r="AO20" s="66"/>
      <c r="AP20" s="90">
        <f t="shared" si="6"/>
        <v>1355885</v>
      </c>
      <c r="AQ20" s="66">
        <v>335835</v>
      </c>
      <c r="AR20" s="66">
        <v>756800</v>
      </c>
      <c r="AS20" s="66">
        <v>263250</v>
      </c>
      <c r="AT20" s="95"/>
      <c r="AU20" s="95"/>
      <c r="AV20" s="95"/>
      <c r="AW20" s="95"/>
      <c r="AX20" s="95"/>
      <c r="AY20" s="51"/>
      <c r="AZ20" s="95"/>
      <c r="BA20" s="51"/>
      <c r="BB20" s="66"/>
      <c r="BC20" s="66"/>
      <c r="BD20" s="66"/>
      <c r="BE20" s="70"/>
      <c r="BF20" s="66"/>
      <c r="BG20" s="66"/>
      <c r="BH20" s="90">
        <f t="shared" si="7"/>
        <v>4531851</v>
      </c>
      <c r="BI20" s="90">
        <v>157524</v>
      </c>
      <c r="BJ20" s="66"/>
      <c r="BK20" s="90">
        <v>3848000</v>
      </c>
      <c r="BL20" s="90"/>
      <c r="BM20" s="90">
        <v>526327</v>
      </c>
      <c r="BN20" s="66"/>
      <c r="BO20" s="70"/>
      <c r="BP20" s="66"/>
      <c r="BQ20" s="66">
        <f t="shared" si="8"/>
        <v>0</v>
      </c>
      <c r="BR20" s="66"/>
      <c r="BS20" s="66"/>
      <c r="BT20" s="66"/>
      <c r="BU20" s="66"/>
      <c r="BV20" s="66"/>
      <c r="BW20" s="66"/>
      <c r="BX20" s="90">
        <f t="shared" si="9"/>
        <v>731665</v>
      </c>
      <c r="BY20" s="90">
        <v>431665</v>
      </c>
      <c r="BZ20" s="90"/>
      <c r="CA20" s="90"/>
      <c r="CB20" s="90"/>
      <c r="CC20" s="90"/>
      <c r="CD20" s="90"/>
      <c r="CE20" s="49"/>
      <c r="CF20" s="66">
        <f>CG20+CH20</f>
        <v>300000</v>
      </c>
      <c r="CG20" s="66"/>
      <c r="CH20" s="66">
        <v>300000</v>
      </c>
      <c r="CI20" s="51">
        <f t="shared" si="10"/>
        <v>181220561</v>
      </c>
      <c r="CJ20" s="81"/>
      <c r="CK20" s="367"/>
      <c r="CL20" s="367"/>
      <c r="CM20" s="81"/>
      <c r="CN20" s="367"/>
      <c r="CO20" s="367"/>
      <c r="CP20" s="1485"/>
      <c r="CQ20" s="36"/>
      <c r="CR20" s="367"/>
      <c r="CS20" s="36"/>
      <c r="CT20" s="1485"/>
      <c r="CU20" s="1485">
        <f t="shared" si="11"/>
        <v>0</v>
      </c>
      <c r="CV20" s="36"/>
      <c r="CW20" s="36"/>
      <c r="CX20" s="36"/>
      <c r="CY20" s="36"/>
      <c r="CZ20" s="36"/>
    </row>
    <row r="21" spans="1:104">
      <c r="A21" s="452" t="s">
        <v>651</v>
      </c>
      <c r="B21" s="1132" t="s">
        <v>1141</v>
      </c>
      <c r="C21" s="218"/>
      <c r="D21" s="218"/>
      <c r="E21" s="218"/>
      <c r="F21" s="415"/>
      <c r="G21" s="415"/>
      <c r="H21" s="415">
        <f t="shared" si="0"/>
        <v>0</v>
      </c>
      <c r="I21" s="66">
        <v>12959800</v>
      </c>
      <c r="J21" s="66">
        <v>57476000</v>
      </c>
      <c r="K21" s="66">
        <v>1658400</v>
      </c>
      <c r="L21" s="66">
        <v>82198200</v>
      </c>
      <c r="M21" s="66"/>
      <c r="N21" s="66"/>
      <c r="O21" s="66"/>
      <c r="P21" s="66">
        <v>915000</v>
      </c>
      <c r="Q21" s="66">
        <f t="shared" si="1"/>
        <v>0</v>
      </c>
      <c r="R21" s="66"/>
      <c r="S21" s="66"/>
      <c r="T21" s="66">
        <f t="shared" si="2"/>
        <v>0</v>
      </c>
      <c r="U21" s="66"/>
      <c r="V21" s="66"/>
      <c r="W21" s="51">
        <v>346800</v>
      </c>
      <c r="X21" s="66">
        <f t="shared" si="3"/>
        <v>1734400</v>
      </c>
      <c r="Y21" s="66">
        <v>64600</v>
      </c>
      <c r="Z21" s="66">
        <v>1669800</v>
      </c>
      <c r="AA21" s="66">
        <f>300900+3468</f>
        <v>304368</v>
      </c>
      <c r="AB21" s="66"/>
      <c r="AC21" s="66"/>
      <c r="AD21" s="90">
        <f t="shared" si="4"/>
        <v>1040760</v>
      </c>
      <c r="AE21" s="66">
        <v>1040760</v>
      </c>
      <c r="AF21" s="66"/>
      <c r="AG21" s="66"/>
      <c r="AH21" s="90">
        <f t="shared" si="5"/>
        <v>744600</v>
      </c>
      <c r="AI21" s="66">
        <v>514500</v>
      </c>
      <c r="AJ21" s="66">
        <v>166900</v>
      </c>
      <c r="AK21" s="66"/>
      <c r="AL21" s="66">
        <v>40900</v>
      </c>
      <c r="AM21" s="66">
        <v>22300</v>
      </c>
      <c r="AN21" s="66"/>
      <c r="AO21" s="66"/>
      <c r="AP21" s="90">
        <f t="shared" si="6"/>
        <v>1366375</v>
      </c>
      <c r="AQ21" s="66">
        <v>322075</v>
      </c>
      <c r="AR21" s="66">
        <v>757800</v>
      </c>
      <c r="AS21" s="66">
        <v>283500</v>
      </c>
      <c r="AT21" s="66">
        <v>3000</v>
      </c>
      <c r="AU21" s="66"/>
      <c r="AV21" s="66"/>
      <c r="AW21" s="66"/>
      <c r="AX21" s="66"/>
      <c r="AY21" s="51">
        <v>2721516.56</v>
      </c>
      <c r="AZ21" s="66"/>
      <c r="BA21" s="51">
        <v>2290716</v>
      </c>
      <c r="BB21" s="66"/>
      <c r="BC21" s="66"/>
      <c r="BD21" s="66"/>
      <c r="BE21" s="66"/>
      <c r="BF21" s="66"/>
      <c r="BG21" s="66"/>
      <c r="BH21" s="90">
        <f t="shared" si="7"/>
        <v>626958</v>
      </c>
      <c r="BI21" s="90">
        <v>70112</v>
      </c>
      <c r="BJ21" s="66"/>
      <c r="BK21" s="90">
        <v>78100</v>
      </c>
      <c r="BL21" s="90"/>
      <c r="BM21" s="90">
        <v>478746</v>
      </c>
      <c r="BN21" s="66"/>
      <c r="BO21" s="70"/>
      <c r="BP21" s="66"/>
      <c r="BQ21" s="66">
        <f t="shared" si="8"/>
        <v>0</v>
      </c>
      <c r="BR21" s="66"/>
      <c r="BS21" s="66"/>
      <c r="BT21" s="66"/>
      <c r="BU21" s="66"/>
      <c r="BV21" s="66"/>
      <c r="BW21" s="66"/>
      <c r="BX21" s="90">
        <f t="shared" si="9"/>
        <v>1226100</v>
      </c>
      <c r="BY21" s="90">
        <v>126100</v>
      </c>
      <c r="BZ21" s="90">
        <v>950000</v>
      </c>
      <c r="CA21" s="90"/>
      <c r="CB21" s="90"/>
      <c r="CC21" s="90"/>
      <c r="CD21" s="90"/>
      <c r="CE21" s="49"/>
      <c r="CF21" s="66">
        <f>CG21+CH21</f>
        <v>150000</v>
      </c>
      <c r="CG21" s="66"/>
      <c r="CH21" s="66">
        <v>150000</v>
      </c>
      <c r="CI21" s="51">
        <f t="shared" si="10"/>
        <v>167609993.56</v>
      </c>
      <c r="CJ21" s="81"/>
      <c r="CK21" s="367"/>
      <c r="CL21" s="367"/>
      <c r="CM21" s="81"/>
      <c r="CN21" s="367"/>
      <c r="CO21" s="367"/>
      <c r="CP21" s="1485"/>
      <c r="CQ21" s="36"/>
      <c r="CR21" s="367"/>
      <c r="CS21" s="36"/>
      <c r="CT21" s="1485"/>
      <c r="CU21" s="1485">
        <f t="shared" si="11"/>
        <v>0</v>
      </c>
      <c r="CV21" s="36"/>
      <c r="CW21" s="36"/>
      <c r="CX21" s="36"/>
      <c r="CY21" s="36"/>
      <c r="CZ21" s="36"/>
    </row>
    <row r="22" spans="1:104" ht="24.95" customHeight="1">
      <c r="A22" s="452" t="s">
        <v>652</v>
      </c>
      <c r="B22" s="1131" t="s">
        <v>1142</v>
      </c>
      <c r="C22" s="202"/>
      <c r="D22" s="202"/>
      <c r="E22" s="202"/>
      <c r="F22" s="415">
        <f>'дод1.1'!E117</f>
        <v>458291</v>
      </c>
      <c r="G22" s="415"/>
      <c r="H22" s="415">
        <f t="shared" si="0"/>
        <v>458291</v>
      </c>
      <c r="I22" s="66">
        <v>6766600</v>
      </c>
      <c r="J22" s="66">
        <v>25080700</v>
      </c>
      <c r="K22" s="66">
        <v>1204400</v>
      </c>
      <c r="L22" s="66">
        <v>33773000</v>
      </c>
      <c r="M22" s="66"/>
      <c r="N22" s="66"/>
      <c r="O22" s="66"/>
      <c r="P22" s="66">
        <v>503400</v>
      </c>
      <c r="Q22" s="66">
        <f t="shared" si="1"/>
        <v>482860</v>
      </c>
      <c r="R22" s="66"/>
      <c r="S22" s="66">
        <v>132860</v>
      </c>
      <c r="T22" s="66">
        <f t="shared" si="2"/>
        <v>350000</v>
      </c>
      <c r="U22" s="66"/>
      <c r="V22" s="66">
        <v>350000</v>
      </c>
      <c r="W22" s="51">
        <v>146190</v>
      </c>
      <c r="X22" s="66">
        <f t="shared" si="3"/>
        <v>697600</v>
      </c>
      <c r="Y22" s="66">
        <v>37300</v>
      </c>
      <c r="Z22" s="66">
        <v>660300</v>
      </c>
      <c r="AA22" s="66">
        <f>430400-60700</f>
        <v>369700</v>
      </c>
      <c r="AB22" s="66"/>
      <c r="AC22" s="66"/>
      <c r="AD22" s="90">
        <f t="shared" si="4"/>
        <v>994960</v>
      </c>
      <c r="AE22" s="66">
        <f>1040760-45800</f>
        <v>994960</v>
      </c>
      <c r="AF22" s="66"/>
      <c r="AG22" s="66"/>
      <c r="AH22" s="90">
        <f t="shared" si="5"/>
        <v>447200</v>
      </c>
      <c r="AI22" s="66">
        <v>266100</v>
      </c>
      <c r="AJ22" s="66">
        <v>86400</v>
      </c>
      <c r="AK22" s="66"/>
      <c r="AL22" s="66">
        <v>61300</v>
      </c>
      <c r="AM22" s="66">
        <v>33400</v>
      </c>
      <c r="AN22" s="66"/>
      <c r="AO22" s="66"/>
      <c r="AP22" s="90">
        <f t="shared" si="6"/>
        <v>596435</v>
      </c>
      <c r="AQ22" s="66">
        <v>145895</v>
      </c>
      <c r="AR22" s="66">
        <v>326540</v>
      </c>
      <c r="AS22" s="66">
        <v>121500</v>
      </c>
      <c r="AT22" s="66">
        <v>2500</v>
      </c>
      <c r="AU22" s="66"/>
      <c r="AV22" s="66"/>
      <c r="AW22" s="66"/>
      <c r="AX22" s="66"/>
      <c r="AY22" s="51"/>
      <c r="AZ22" s="66"/>
      <c r="BA22" s="66"/>
      <c r="BB22" s="66"/>
      <c r="BC22" s="66"/>
      <c r="BD22" s="66"/>
      <c r="BE22" s="66"/>
      <c r="BF22" s="66"/>
      <c r="BG22" s="66"/>
      <c r="BH22" s="90">
        <f t="shared" si="7"/>
        <v>799893</v>
      </c>
      <c r="BI22" s="90">
        <v>147892</v>
      </c>
      <c r="BJ22" s="66">
        <v>99608</v>
      </c>
      <c r="BK22" s="90">
        <v>312800</v>
      </c>
      <c r="BL22" s="90"/>
      <c r="BM22" s="90">
        <v>239593</v>
      </c>
      <c r="BN22" s="66"/>
      <c r="BO22" s="70"/>
      <c r="BP22" s="66"/>
      <c r="BQ22" s="66">
        <f t="shared" si="8"/>
        <v>0</v>
      </c>
      <c r="BR22" s="66"/>
      <c r="BS22" s="66"/>
      <c r="BT22" s="66"/>
      <c r="BU22" s="66"/>
      <c r="BV22" s="66"/>
      <c r="BW22" s="66"/>
      <c r="BX22" s="90">
        <f t="shared" si="9"/>
        <v>220612</v>
      </c>
      <c r="BY22" s="90">
        <v>120220</v>
      </c>
      <c r="BZ22" s="90">
        <f>100392</f>
        <v>100392</v>
      </c>
      <c r="CA22" s="90"/>
      <c r="CB22" s="90"/>
      <c r="CC22" s="90"/>
      <c r="CD22" s="90"/>
      <c r="CE22" s="49"/>
      <c r="CF22" s="66">
        <f>CG22+CH22</f>
        <v>0</v>
      </c>
      <c r="CG22" s="66"/>
      <c r="CH22" s="66"/>
      <c r="CI22" s="51">
        <f t="shared" si="10"/>
        <v>72083550</v>
      </c>
      <c r="CJ22" s="81"/>
      <c r="CK22" s="367"/>
      <c r="CL22" s="367"/>
      <c r="CM22" s="81"/>
      <c r="CN22" s="367"/>
      <c r="CO22" s="367"/>
      <c r="CP22" s="1485"/>
      <c r="CQ22" s="36"/>
      <c r="CR22" s="367"/>
      <c r="CS22" s="36"/>
      <c r="CT22" s="1485"/>
      <c r="CU22" s="1485">
        <f t="shared" si="11"/>
        <v>0</v>
      </c>
      <c r="CV22" s="36"/>
      <c r="CW22" s="36"/>
      <c r="CX22" s="36"/>
      <c r="CY22" s="36"/>
      <c r="CZ22" s="36"/>
    </row>
    <row r="23" spans="1:104" s="67" customFormat="1" ht="18" customHeight="1">
      <c r="A23" s="99"/>
      <c r="B23" s="75" t="s">
        <v>139</v>
      </c>
      <c r="C23" s="75"/>
      <c r="D23" s="49">
        <f>SUM(D18:D22)</f>
        <v>0</v>
      </c>
      <c r="E23" s="49">
        <f>SUM(E18:E22)</f>
        <v>0</v>
      </c>
      <c r="F23" s="1194">
        <f>SUM(F18:F22)</f>
        <v>1860343</v>
      </c>
      <c r="G23" s="1194">
        <f>SUM(G18:G22)</f>
        <v>0</v>
      </c>
      <c r="H23" s="1194">
        <f>SUM(H18:H22)</f>
        <v>1860343</v>
      </c>
      <c r="I23" s="49">
        <f t="shared" ref="I23:P23" si="12">SUM(I18:I22)</f>
        <v>109219600</v>
      </c>
      <c r="J23" s="49">
        <f t="shared" si="12"/>
        <v>396974600</v>
      </c>
      <c r="K23" s="49">
        <f t="shared" si="12"/>
        <v>4071500</v>
      </c>
      <c r="L23" s="49">
        <f t="shared" si="12"/>
        <v>665321700</v>
      </c>
      <c r="M23" s="49">
        <f t="shared" si="12"/>
        <v>0</v>
      </c>
      <c r="N23" s="49">
        <f t="shared" si="12"/>
        <v>0</v>
      </c>
      <c r="O23" s="49">
        <f t="shared" si="12"/>
        <v>0</v>
      </c>
      <c r="P23" s="49">
        <f t="shared" si="12"/>
        <v>10731800</v>
      </c>
      <c r="Q23" s="49">
        <f t="shared" ref="Q23:AA23" si="13">SUM(Q18:Q22)</f>
        <v>950100</v>
      </c>
      <c r="R23" s="49">
        <f t="shared" si="13"/>
        <v>0</v>
      </c>
      <c r="S23" s="49">
        <f>SUM(S18:S22)</f>
        <v>265800</v>
      </c>
      <c r="T23" s="49">
        <f>SUM(T18:T22)</f>
        <v>684300</v>
      </c>
      <c r="U23" s="49">
        <f>SUM(U18:U22)</f>
        <v>334300</v>
      </c>
      <c r="V23" s="49">
        <f>SUM(V18:V22)</f>
        <v>350000</v>
      </c>
      <c r="W23" s="79">
        <f t="shared" si="13"/>
        <v>2851521.8200000003</v>
      </c>
      <c r="X23" s="49">
        <f t="shared" si="13"/>
        <v>14261800</v>
      </c>
      <c r="Y23" s="49">
        <f t="shared" si="13"/>
        <v>957000</v>
      </c>
      <c r="Z23" s="49">
        <f t="shared" si="13"/>
        <v>13304800</v>
      </c>
      <c r="AA23" s="49">
        <f t="shared" si="13"/>
        <v>3292816</v>
      </c>
      <c r="AB23" s="49">
        <f t="shared" ref="AB23:AQ23" si="14">SUM(AB18:AB22)</f>
        <v>0</v>
      </c>
      <c r="AC23" s="49">
        <f t="shared" si="14"/>
        <v>0</v>
      </c>
      <c r="AD23" s="49">
        <f t="shared" si="14"/>
        <v>11775080</v>
      </c>
      <c r="AE23" s="49">
        <f t="shared" si="14"/>
        <v>7239480</v>
      </c>
      <c r="AF23" s="49">
        <f t="shared" si="14"/>
        <v>0</v>
      </c>
      <c r="AG23" s="49">
        <f t="shared" si="14"/>
        <v>4535600</v>
      </c>
      <c r="AH23" s="49">
        <f t="shared" si="14"/>
        <v>7356000</v>
      </c>
      <c r="AI23" s="49">
        <f t="shared" si="14"/>
        <v>4027500</v>
      </c>
      <c r="AJ23" s="49">
        <f t="shared" si="14"/>
        <v>1306200</v>
      </c>
      <c r="AK23" s="49">
        <f t="shared" si="14"/>
        <v>558000</v>
      </c>
      <c r="AL23" s="49">
        <f t="shared" si="14"/>
        <v>664600</v>
      </c>
      <c r="AM23" s="49">
        <f t="shared" si="14"/>
        <v>362100</v>
      </c>
      <c r="AN23" s="49">
        <f t="shared" si="14"/>
        <v>437600</v>
      </c>
      <c r="AO23" s="49">
        <f t="shared" si="14"/>
        <v>0</v>
      </c>
      <c r="AP23" s="49">
        <f t="shared" si="14"/>
        <v>10267555</v>
      </c>
      <c r="AQ23" s="49">
        <f t="shared" si="14"/>
        <v>2427935</v>
      </c>
      <c r="AR23" s="49">
        <f>SUM(AR15:AR22)</f>
        <v>6210220</v>
      </c>
      <c r="AS23" s="49">
        <f t="shared" ref="AS23:BC23" si="15">SUM(AS18:AS22)</f>
        <v>1620000</v>
      </c>
      <c r="AT23" s="49">
        <f t="shared" si="15"/>
        <v>9400</v>
      </c>
      <c r="AU23" s="49">
        <f t="shared" si="15"/>
        <v>0</v>
      </c>
      <c r="AV23" s="49">
        <f t="shared" si="15"/>
        <v>0</v>
      </c>
      <c r="AW23" s="49"/>
      <c r="AX23" s="49"/>
      <c r="AY23" s="79">
        <f t="shared" si="15"/>
        <v>8675916.1500000004</v>
      </c>
      <c r="AZ23" s="79">
        <f t="shared" si="15"/>
        <v>938511</v>
      </c>
      <c r="BA23" s="79">
        <f t="shared" si="15"/>
        <v>11534501.18</v>
      </c>
      <c r="BB23" s="79">
        <f t="shared" si="15"/>
        <v>0</v>
      </c>
      <c r="BC23" s="49">
        <f t="shared" si="15"/>
        <v>0</v>
      </c>
      <c r="BD23" s="49">
        <f t="shared" ref="BD23:CH23" si="16">SUM(BD18:BD22)</f>
        <v>0</v>
      </c>
      <c r="BE23" s="49">
        <f t="shared" si="16"/>
        <v>0</v>
      </c>
      <c r="BF23" s="49">
        <f t="shared" si="16"/>
        <v>0</v>
      </c>
      <c r="BG23" s="49">
        <f t="shared" si="16"/>
        <v>0</v>
      </c>
      <c r="BH23" s="49">
        <f t="shared" si="16"/>
        <v>14979285</v>
      </c>
      <c r="BI23" s="49">
        <f>SUM(BI18:BI22)</f>
        <v>1179929</v>
      </c>
      <c r="BJ23" s="49">
        <f>SUM(BJ18:BJ22)</f>
        <v>5050038</v>
      </c>
      <c r="BK23" s="91">
        <f t="shared" si="16"/>
        <v>4834100</v>
      </c>
      <c r="BL23" s="91">
        <f>SUM(BL18:BL22)</f>
        <v>0</v>
      </c>
      <c r="BM23" s="91">
        <f t="shared" si="16"/>
        <v>3915218</v>
      </c>
      <c r="BN23" s="49">
        <f t="shared" si="16"/>
        <v>0</v>
      </c>
      <c r="BO23" s="49">
        <f t="shared" si="16"/>
        <v>0</v>
      </c>
      <c r="BP23" s="49">
        <f t="shared" si="16"/>
        <v>0</v>
      </c>
      <c r="BQ23" s="49">
        <f t="shared" si="16"/>
        <v>0</v>
      </c>
      <c r="BR23" s="49">
        <f t="shared" si="16"/>
        <v>0</v>
      </c>
      <c r="BS23" s="49">
        <f t="shared" si="16"/>
        <v>0</v>
      </c>
      <c r="BT23" s="49">
        <f t="shared" si="16"/>
        <v>0</v>
      </c>
      <c r="BU23" s="49">
        <f t="shared" si="16"/>
        <v>0</v>
      </c>
      <c r="BV23" s="49">
        <f t="shared" si="16"/>
        <v>0</v>
      </c>
      <c r="BW23" s="49">
        <f t="shared" si="16"/>
        <v>0</v>
      </c>
      <c r="BX23" s="49">
        <f>SUM(BX18:BX22)</f>
        <v>8351814</v>
      </c>
      <c r="BY23" s="49">
        <f t="shared" si="16"/>
        <v>1416422</v>
      </c>
      <c r="BZ23" s="49">
        <f t="shared" si="16"/>
        <v>6485392</v>
      </c>
      <c r="CA23" s="49">
        <f t="shared" si="16"/>
        <v>0</v>
      </c>
      <c r="CB23" s="49">
        <f t="shared" si="16"/>
        <v>0</v>
      </c>
      <c r="CC23" s="49">
        <f>SUM(CC18:CC22)</f>
        <v>0</v>
      </c>
      <c r="CD23" s="49">
        <f t="shared" si="16"/>
        <v>0</v>
      </c>
      <c r="CE23" s="49">
        <f t="shared" si="16"/>
        <v>0</v>
      </c>
      <c r="CF23" s="49">
        <f t="shared" si="16"/>
        <v>450000</v>
      </c>
      <c r="CG23" s="49">
        <f t="shared" si="16"/>
        <v>0</v>
      </c>
      <c r="CH23" s="49">
        <f t="shared" si="16"/>
        <v>450000</v>
      </c>
      <c r="CI23" s="79">
        <f t="shared" si="10"/>
        <v>1281554100.1500001</v>
      </c>
      <c r="CJ23" s="81"/>
      <c r="CK23" s="367"/>
      <c r="CL23" s="367"/>
      <c r="CM23" s="81"/>
      <c r="CN23" s="367"/>
      <c r="CO23" s="367"/>
      <c r="CP23" s="1485"/>
      <c r="CQ23" s="1486"/>
      <c r="CR23" s="367"/>
      <c r="CS23" s="1486"/>
      <c r="CT23" s="1485"/>
      <c r="CU23" s="1485">
        <f t="shared" si="11"/>
        <v>0</v>
      </c>
      <c r="CV23" s="1486"/>
      <c r="CW23" s="1486"/>
      <c r="CX23" s="1486"/>
      <c r="CY23" s="1486"/>
      <c r="CZ23" s="1486"/>
    </row>
    <row r="24" spans="1:104">
      <c r="A24" s="452" t="s">
        <v>653</v>
      </c>
      <c r="B24" s="1131" t="s">
        <v>1143</v>
      </c>
      <c r="C24" s="199"/>
      <c r="D24" s="199">
        <f>'дод 1.2'!D297</f>
        <v>0</v>
      </c>
      <c r="E24" s="199"/>
      <c r="F24" s="415"/>
      <c r="G24" s="415">
        <f>'дод 1.2'!E297</f>
        <v>53000</v>
      </c>
      <c r="H24" s="415">
        <f t="shared" si="0"/>
        <v>53000</v>
      </c>
      <c r="I24" s="66">
        <v>8931200</v>
      </c>
      <c r="J24" s="66">
        <v>27835600</v>
      </c>
      <c r="K24" s="66">
        <v>4101600</v>
      </c>
      <c r="L24" s="66">
        <v>61128600</v>
      </c>
      <c r="M24" s="66"/>
      <c r="N24" s="66"/>
      <c r="O24" s="66"/>
      <c r="P24" s="66">
        <v>1679600</v>
      </c>
      <c r="Q24" s="66">
        <f t="shared" si="1"/>
        <v>1100000</v>
      </c>
      <c r="R24" s="66">
        <v>1100000</v>
      </c>
      <c r="S24" s="66"/>
      <c r="T24" s="66">
        <f t="shared" si="2"/>
        <v>0</v>
      </c>
      <c r="U24" s="66"/>
      <c r="V24" s="66"/>
      <c r="W24" s="51">
        <v>134820</v>
      </c>
      <c r="X24" s="66">
        <f t="shared" si="3"/>
        <v>672300</v>
      </c>
      <c r="Y24" s="66">
        <v>42800</v>
      </c>
      <c r="Z24" s="66">
        <v>629500</v>
      </c>
      <c r="AA24" s="66">
        <v>122200</v>
      </c>
      <c r="AB24" s="66"/>
      <c r="AC24" s="66"/>
      <c r="AD24" s="90">
        <f t="shared" si="4"/>
        <v>994960</v>
      </c>
      <c r="AE24" s="66">
        <f>1040760-45800</f>
        <v>994960</v>
      </c>
      <c r="AF24" s="66"/>
      <c r="AG24" s="66"/>
      <c r="AH24" s="90">
        <f t="shared" si="5"/>
        <v>203800</v>
      </c>
      <c r="AI24" s="66">
        <v>141900</v>
      </c>
      <c r="AJ24" s="66">
        <v>46100</v>
      </c>
      <c r="AK24" s="66"/>
      <c r="AL24" s="66">
        <v>10200</v>
      </c>
      <c r="AM24" s="66">
        <v>5600</v>
      </c>
      <c r="AN24" s="66"/>
      <c r="AO24" s="66"/>
      <c r="AP24" s="90">
        <f t="shared" si="6"/>
        <v>960760</v>
      </c>
      <c r="AQ24" s="66">
        <v>233990</v>
      </c>
      <c r="AR24" s="66">
        <v>281020</v>
      </c>
      <c r="AS24" s="66">
        <v>425250</v>
      </c>
      <c r="AT24" s="66">
        <v>20500</v>
      </c>
      <c r="AU24" s="66"/>
      <c r="AV24" s="66">
        <v>895808</v>
      </c>
      <c r="AW24" s="66">
        <v>895808</v>
      </c>
      <c r="AX24" s="66"/>
      <c r="AY24" s="51">
        <v>762922</v>
      </c>
      <c r="AZ24" s="66"/>
      <c r="BA24" s="66"/>
      <c r="BB24" s="66"/>
      <c r="BC24" s="66"/>
      <c r="BD24" s="66"/>
      <c r="BE24" s="66"/>
      <c r="BF24" s="66"/>
      <c r="BG24" s="66"/>
      <c r="BH24" s="90">
        <f t="shared" si="7"/>
        <v>365919</v>
      </c>
      <c r="BI24" s="90">
        <v>40200</v>
      </c>
      <c r="BJ24" s="66"/>
      <c r="BK24" s="90">
        <v>45300</v>
      </c>
      <c r="BL24" s="90"/>
      <c r="BM24" s="90">
        <v>280419</v>
      </c>
      <c r="BN24" s="66"/>
      <c r="BO24" s="66"/>
      <c r="BP24" s="66"/>
      <c r="BQ24" s="66">
        <f t="shared" si="8"/>
        <v>0</v>
      </c>
      <c r="BR24" s="66"/>
      <c r="BS24" s="66"/>
      <c r="BT24" s="66"/>
      <c r="BU24" s="66">
        <v>166800</v>
      </c>
      <c r="BV24" s="66"/>
      <c r="BW24" s="66"/>
      <c r="BX24" s="90">
        <f t="shared" si="9"/>
        <v>0</v>
      </c>
      <c r="BY24" s="90">
        <v>0</v>
      </c>
      <c r="BZ24" s="90"/>
      <c r="CA24" s="90"/>
      <c r="CB24" s="90"/>
      <c r="CC24" s="90"/>
      <c r="CD24" s="90"/>
      <c r="CE24" s="49"/>
      <c r="CF24" s="66">
        <f t="shared" ref="CF24:CF81" si="17">CG24+CH24</f>
        <v>0</v>
      </c>
      <c r="CG24" s="66"/>
      <c r="CH24" s="66"/>
      <c r="CI24" s="51">
        <f t="shared" si="10"/>
        <v>110056889</v>
      </c>
      <c r="CJ24" s="81"/>
      <c r="CK24" s="367"/>
      <c r="CL24" s="367"/>
      <c r="CM24" s="81"/>
      <c r="CN24" s="367"/>
      <c r="CO24" s="367"/>
      <c r="CP24" s="1485"/>
      <c r="CQ24" s="36"/>
      <c r="CR24" s="367"/>
      <c r="CS24" s="36"/>
      <c r="CT24" s="1485"/>
      <c r="CU24" s="1485">
        <f t="shared" si="11"/>
        <v>0</v>
      </c>
      <c r="CV24" s="36"/>
      <c r="CW24" s="36"/>
      <c r="CX24" s="36"/>
      <c r="CY24" s="36"/>
      <c r="CZ24" s="36"/>
    </row>
    <row r="25" spans="1:104">
      <c r="A25" s="452" t="s">
        <v>654</v>
      </c>
      <c r="B25" s="1131" t="s">
        <v>1144</v>
      </c>
      <c r="C25" s="199"/>
      <c r="D25" s="199"/>
      <c r="E25" s="199"/>
      <c r="F25" s="415"/>
      <c r="G25" s="415">
        <f>'дод 1.2'!C327</f>
        <v>14000</v>
      </c>
      <c r="H25" s="415">
        <f t="shared" si="0"/>
        <v>14000</v>
      </c>
      <c r="I25" s="66">
        <v>2448900</v>
      </c>
      <c r="J25" s="66">
        <v>25813300</v>
      </c>
      <c r="K25" s="66">
        <v>10119800</v>
      </c>
      <c r="L25" s="66">
        <v>90490900</v>
      </c>
      <c r="M25" s="66"/>
      <c r="N25" s="66"/>
      <c r="O25" s="66"/>
      <c r="P25" s="66">
        <v>2596300</v>
      </c>
      <c r="Q25" s="66">
        <f t="shared" si="1"/>
        <v>0</v>
      </c>
      <c r="R25" s="66"/>
      <c r="S25" s="66"/>
      <c r="T25" s="66">
        <f t="shared" si="2"/>
        <v>0</v>
      </c>
      <c r="U25" s="66"/>
      <c r="V25" s="66"/>
      <c r="W25" s="51"/>
      <c r="X25" s="66">
        <f t="shared" si="3"/>
        <v>3200</v>
      </c>
      <c r="Y25" s="66">
        <v>3200</v>
      </c>
      <c r="Z25" s="66"/>
      <c r="AA25" s="66"/>
      <c r="AB25" s="66"/>
      <c r="AC25" s="66"/>
      <c r="AD25" s="90">
        <f t="shared" si="4"/>
        <v>0</v>
      </c>
      <c r="AE25" s="66"/>
      <c r="AF25" s="66"/>
      <c r="AG25" s="66"/>
      <c r="AH25" s="90">
        <f t="shared" si="5"/>
        <v>23500</v>
      </c>
      <c r="AI25" s="66">
        <v>17700</v>
      </c>
      <c r="AJ25" s="66">
        <v>5800</v>
      </c>
      <c r="AK25" s="66"/>
      <c r="AL25" s="66"/>
      <c r="AM25" s="66"/>
      <c r="AN25" s="66"/>
      <c r="AO25" s="66"/>
      <c r="AP25" s="90">
        <f t="shared" si="6"/>
        <v>154540</v>
      </c>
      <c r="AQ25" s="66">
        <v>38540</v>
      </c>
      <c r="AR25" s="66">
        <v>72500</v>
      </c>
      <c r="AS25" s="66">
        <v>40500</v>
      </c>
      <c r="AT25" s="66">
        <v>3000</v>
      </c>
      <c r="AU25" s="66"/>
      <c r="AV25" s="66"/>
      <c r="AW25" s="66"/>
      <c r="AX25" s="66"/>
      <c r="AY25" s="51"/>
      <c r="AZ25" s="66"/>
      <c r="BA25" s="66"/>
      <c r="BB25" s="66"/>
      <c r="BC25" s="66"/>
      <c r="BD25" s="66"/>
      <c r="BE25" s="66"/>
      <c r="BF25" s="66"/>
      <c r="BG25" s="66"/>
      <c r="BH25" s="90">
        <f t="shared" si="7"/>
        <v>432851</v>
      </c>
      <c r="BI25" s="90">
        <v>40000</v>
      </c>
      <c r="BJ25" s="66"/>
      <c r="BK25" s="90">
        <v>40400</v>
      </c>
      <c r="BL25" s="90"/>
      <c r="BM25" s="90">
        <v>352451</v>
      </c>
      <c r="BN25" s="66"/>
      <c r="BO25" s="66"/>
      <c r="BP25" s="66"/>
      <c r="BQ25" s="66">
        <f t="shared" si="8"/>
        <v>0</v>
      </c>
      <c r="BR25" s="66"/>
      <c r="BS25" s="66"/>
      <c r="BT25" s="66"/>
      <c r="BU25" s="66">
        <v>176700</v>
      </c>
      <c r="BV25" s="66"/>
      <c r="BW25" s="66"/>
      <c r="BX25" s="90">
        <f t="shared" si="9"/>
        <v>0</v>
      </c>
      <c r="BY25" s="90">
        <v>0</v>
      </c>
      <c r="BZ25" s="90"/>
      <c r="CA25" s="90"/>
      <c r="CB25" s="90"/>
      <c r="CC25" s="90"/>
      <c r="CD25" s="90"/>
      <c r="CE25" s="49"/>
      <c r="CF25" s="66">
        <f t="shared" si="17"/>
        <v>0</v>
      </c>
      <c r="CG25" s="66"/>
      <c r="CH25" s="66"/>
      <c r="CI25" s="51">
        <f t="shared" si="10"/>
        <v>132259991</v>
      </c>
      <c r="CJ25" s="81"/>
      <c r="CK25" s="367"/>
      <c r="CL25" s="367"/>
      <c r="CM25" s="81"/>
      <c r="CN25" s="367"/>
      <c r="CO25" s="367"/>
      <c r="CP25" s="1485"/>
      <c r="CQ25" s="36"/>
      <c r="CR25" s="367"/>
      <c r="CS25" s="36"/>
      <c r="CT25" s="1485"/>
      <c r="CU25" s="1485">
        <f t="shared" si="11"/>
        <v>0</v>
      </c>
      <c r="CV25" s="36"/>
      <c r="CW25" s="36"/>
      <c r="CX25" s="36"/>
      <c r="CY25" s="36"/>
      <c r="CZ25" s="36"/>
    </row>
    <row r="26" spans="1:104">
      <c r="A26" s="452" t="s">
        <v>655</v>
      </c>
      <c r="B26" s="1131" t="s">
        <v>1145</v>
      </c>
      <c r="C26" s="199"/>
      <c r="D26" s="199"/>
      <c r="E26" s="199"/>
      <c r="F26" s="415"/>
      <c r="G26" s="415"/>
      <c r="H26" s="415">
        <f t="shared" si="0"/>
        <v>0</v>
      </c>
      <c r="I26" s="66">
        <v>2628600</v>
      </c>
      <c r="J26" s="66">
        <v>25798600</v>
      </c>
      <c r="K26" s="66">
        <v>5102100</v>
      </c>
      <c r="L26" s="66">
        <v>55136500</v>
      </c>
      <c r="M26" s="66"/>
      <c r="N26" s="66"/>
      <c r="O26" s="66"/>
      <c r="P26" s="66">
        <v>924500</v>
      </c>
      <c r="Q26" s="66">
        <f t="shared" si="1"/>
        <v>350000</v>
      </c>
      <c r="R26" s="66">
        <v>350000</v>
      </c>
      <c r="S26" s="66"/>
      <c r="T26" s="66">
        <f t="shared" si="2"/>
        <v>0</v>
      </c>
      <c r="U26" s="66"/>
      <c r="V26" s="66"/>
      <c r="W26" s="51">
        <v>125070</v>
      </c>
      <c r="X26" s="66">
        <f t="shared" si="3"/>
        <v>637800</v>
      </c>
      <c r="Y26" s="66">
        <v>39000</v>
      </c>
      <c r="Z26" s="66">
        <v>598800</v>
      </c>
      <c r="AA26" s="66">
        <v>100700</v>
      </c>
      <c r="AB26" s="66"/>
      <c r="AC26" s="66"/>
      <c r="AD26" s="90">
        <f t="shared" si="4"/>
        <v>994960</v>
      </c>
      <c r="AE26" s="66">
        <f>1040760-45800</f>
        <v>994960</v>
      </c>
      <c r="AF26" s="66"/>
      <c r="AG26" s="66"/>
      <c r="AH26" s="90">
        <f t="shared" si="5"/>
        <v>399500</v>
      </c>
      <c r="AI26" s="66">
        <v>301600</v>
      </c>
      <c r="AJ26" s="66">
        <v>97900</v>
      </c>
      <c r="AK26" s="66"/>
      <c r="AL26" s="66"/>
      <c r="AM26" s="66"/>
      <c r="AN26" s="66"/>
      <c r="AO26" s="66"/>
      <c r="AP26" s="90">
        <f t="shared" si="6"/>
        <v>258510</v>
      </c>
      <c r="AQ26" s="66">
        <v>63310</v>
      </c>
      <c r="AR26" s="66">
        <v>66000</v>
      </c>
      <c r="AS26" s="66">
        <v>121500</v>
      </c>
      <c r="AT26" s="66">
        <v>7700</v>
      </c>
      <c r="AU26" s="66"/>
      <c r="AV26" s="66">
        <v>217411</v>
      </c>
      <c r="AW26" s="66">
        <v>217411</v>
      </c>
      <c r="AX26" s="66"/>
      <c r="AY26" s="51">
        <v>621322.6</v>
      </c>
      <c r="AZ26" s="66"/>
      <c r="BA26" s="66"/>
      <c r="BB26" s="66">
        <v>619322</v>
      </c>
      <c r="BC26" s="66"/>
      <c r="BD26" s="66"/>
      <c r="BE26" s="66"/>
      <c r="BF26" s="66"/>
      <c r="BG26" s="66"/>
      <c r="BH26" s="90">
        <f t="shared" si="7"/>
        <v>477709</v>
      </c>
      <c r="BI26" s="90">
        <v>0</v>
      </c>
      <c r="BJ26" s="66">
        <v>200000</v>
      </c>
      <c r="BK26" s="90">
        <v>36500</v>
      </c>
      <c r="BL26" s="90"/>
      <c r="BM26" s="90">
        <v>241209</v>
      </c>
      <c r="BN26" s="66"/>
      <c r="BO26" s="66"/>
      <c r="BP26" s="66"/>
      <c r="BQ26" s="66">
        <f t="shared" si="8"/>
        <v>0</v>
      </c>
      <c r="BR26" s="66"/>
      <c r="BS26" s="66"/>
      <c r="BT26" s="66"/>
      <c r="BU26" s="66">
        <v>189900</v>
      </c>
      <c r="BV26" s="66"/>
      <c r="BW26" s="66"/>
      <c r="BX26" s="90">
        <f t="shared" si="9"/>
        <v>180000</v>
      </c>
      <c r="BY26" s="90">
        <v>0</v>
      </c>
      <c r="BZ26" s="90"/>
      <c r="CA26" s="90"/>
      <c r="CB26" s="90"/>
      <c r="CC26" s="90"/>
      <c r="CD26" s="90"/>
      <c r="CE26" s="49"/>
      <c r="CF26" s="66">
        <f t="shared" si="17"/>
        <v>180000</v>
      </c>
      <c r="CG26" s="66"/>
      <c r="CH26" s="66">
        <v>180000</v>
      </c>
      <c r="CI26" s="51">
        <f>I26+J26+K26+L26+N26+P26+Q26+W26+X26+AA26+AB26+AC26+AD26+AH26+BA26+BB26+BC26+BE26+BF26+BH26+BO26+BP26+BQ26+BX26+BV26+BG26+BU26+AP26+BW26+O26+M26+AV26+AY26+AZ26</f>
        <v>94762504.599999994</v>
      </c>
      <c r="CJ26" s="81"/>
      <c r="CK26" s="367"/>
      <c r="CL26" s="367"/>
      <c r="CM26" s="81"/>
      <c r="CN26" s="367"/>
      <c r="CO26" s="367"/>
      <c r="CP26" s="1485"/>
      <c r="CQ26" s="36"/>
      <c r="CR26" s="367"/>
      <c r="CS26" s="36"/>
      <c r="CT26" s="1485"/>
      <c r="CU26" s="1485">
        <f t="shared" si="11"/>
        <v>0</v>
      </c>
      <c r="CV26" s="36"/>
      <c r="CW26" s="36"/>
      <c r="CX26" s="36"/>
      <c r="CY26" s="36"/>
      <c r="CZ26" s="36"/>
    </row>
    <row r="27" spans="1:104">
      <c r="A27" s="452" t="s">
        <v>656</v>
      </c>
      <c r="B27" s="1131" t="s">
        <v>1146</v>
      </c>
      <c r="C27" s="199"/>
      <c r="D27" s="199"/>
      <c r="E27" s="199"/>
      <c r="F27" s="415"/>
      <c r="G27" s="415"/>
      <c r="H27" s="415">
        <f t="shared" si="0"/>
        <v>0</v>
      </c>
      <c r="I27" s="66">
        <v>407700</v>
      </c>
      <c r="J27" s="66">
        <v>17493600</v>
      </c>
      <c r="K27" s="66">
        <v>1309200</v>
      </c>
      <c r="L27" s="66">
        <v>30976000</v>
      </c>
      <c r="M27" s="66"/>
      <c r="N27" s="66"/>
      <c r="O27" s="66"/>
      <c r="P27" s="66">
        <v>1999200</v>
      </c>
      <c r="Q27" s="66">
        <f t="shared" si="1"/>
        <v>250000</v>
      </c>
      <c r="R27" s="66">
        <v>250000</v>
      </c>
      <c r="S27" s="66"/>
      <c r="T27" s="66">
        <f t="shared" si="2"/>
        <v>0</v>
      </c>
      <c r="U27" s="66"/>
      <c r="V27" s="66"/>
      <c r="W27" s="51"/>
      <c r="X27" s="66">
        <f t="shared" si="3"/>
        <v>1200</v>
      </c>
      <c r="Y27" s="66">
        <v>1200</v>
      </c>
      <c r="Z27" s="66"/>
      <c r="AA27" s="66"/>
      <c r="AB27" s="66"/>
      <c r="AC27" s="66"/>
      <c r="AD27" s="90">
        <f t="shared" si="4"/>
        <v>0</v>
      </c>
      <c r="AE27" s="66"/>
      <c r="AF27" s="66"/>
      <c r="AG27" s="66"/>
      <c r="AH27" s="90">
        <f t="shared" si="5"/>
        <v>15800</v>
      </c>
      <c r="AI27" s="66">
        <v>0</v>
      </c>
      <c r="AJ27" s="66"/>
      <c r="AK27" s="66"/>
      <c r="AL27" s="66">
        <v>10200</v>
      </c>
      <c r="AM27" s="66">
        <v>5600</v>
      </c>
      <c r="AN27" s="66"/>
      <c r="AO27" s="66"/>
      <c r="AP27" s="90">
        <f t="shared" si="6"/>
        <v>70970</v>
      </c>
      <c r="AQ27" s="66">
        <v>16520</v>
      </c>
      <c r="AR27" s="66">
        <v>12250</v>
      </c>
      <c r="AS27" s="66">
        <v>40500</v>
      </c>
      <c r="AT27" s="66">
        <v>1700</v>
      </c>
      <c r="AU27" s="66"/>
      <c r="AV27" s="66"/>
      <c r="AW27" s="66"/>
      <c r="AX27" s="66"/>
      <c r="AY27" s="51"/>
      <c r="AZ27" s="66"/>
      <c r="BA27" s="66"/>
      <c r="BB27" s="66"/>
      <c r="BC27" s="66"/>
      <c r="BD27" s="66"/>
      <c r="BE27" s="66"/>
      <c r="BF27" s="66"/>
      <c r="BG27" s="66"/>
      <c r="BH27" s="90">
        <f t="shared" si="7"/>
        <v>371443</v>
      </c>
      <c r="BI27" s="90">
        <v>0</v>
      </c>
      <c r="BJ27" s="66"/>
      <c r="BK27" s="90">
        <v>239200</v>
      </c>
      <c r="BL27" s="90"/>
      <c r="BM27" s="90">
        <v>132243</v>
      </c>
      <c r="BN27" s="66"/>
      <c r="BO27" s="66"/>
      <c r="BP27" s="66"/>
      <c r="BQ27" s="66">
        <f t="shared" si="8"/>
        <v>0</v>
      </c>
      <c r="BR27" s="66"/>
      <c r="BS27" s="66"/>
      <c r="BT27" s="66"/>
      <c r="BU27" s="66">
        <v>137300</v>
      </c>
      <c r="BV27" s="66"/>
      <c r="BW27" s="66"/>
      <c r="BX27" s="90">
        <f t="shared" si="9"/>
        <v>0</v>
      </c>
      <c r="BY27" s="90">
        <v>0</v>
      </c>
      <c r="BZ27" s="90"/>
      <c r="CA27" s="90"/>
      <c r="CB27" s="90"/>
      <c r="CC27" s="90"/>
      <c r="CD27" s="90"/>
      <c r="CE27" s="49"/>
      <c r="CF27" s="66">
        <f t="shared" si="17"/>
        <v>0</v>
      </c>
      <c r="CG27" s="66"/>
      <c r="CH27" s="66"/>
      <c r="CI27" s="51">
        <f t="shared" si="10"/>
        <v>53032413</v>
      </c>
      <c r="CJ27" s="81"/>
      <c r="CK27" s="367"/>
      <c r="CL27" s="367"/>
      <c r="CM27" s="81"/>
      <c r="CN27" s="367"/>
      <c r="CO27" s="367"/>
      <c r="CP27" s="1485"/>
      <c r="CQ27" s="36"/>
      <c r="CR27" s="367"/>
      <c r="CS27" s="36"/>
      <c r="CT27" s="1485"/>
      <c r="CU27" s="1485">
        <f t="shared" si="11"/>
        <v>0</v>
      </c>
      <c r="CV27" s="36"/>
      <c r="CW27" s="36"/>
      <c r="CX27" s="36"/>
      <c r="CY27" s="36"/>
      <c r="CZ27" s="36"/>
    </row>
    <row r="28" spans="1:104">
      <c r="A28" s="452" t="s">
        <v>657</v>
      </c>
      <c r="B28" s="1131" t="s">
        <v>1147</v>
      </c>
      <c r="C28" s="199"/>
      <c r="D28" s="199"/>
      <c r="E28" s="199"/>
      <c r="F28" s="415"/>
      <c r="G28" s="415"/>
      <c r="H28" s="415">
        <f t="shared" si="0"/>
        <v>0</v>
      </c>
      <c r="I28" s="66">
        <v>846700</v>
      </c>
      <c r="J28" s="66">
        <v>6780000</v>
      </c>
      <c r="K28" s="66">
        <v>15606600</v>
      </c>
      <c r="L28" s="66">
        <v>75561800</v>
      </c>
      <c r="M28" s="66"/>
      <c r="N28" s="66"/>
      <c r="O28" s="66"/>
      <c r="P28" s="66">
        <v>1024700</v>
      </c>
      <c r="Q28" s="66">
        <f t="shared" si="1"/>
        <v>100000</v>
      </c>
      <c r="R28" s="66"/>
      <c r="S28" s="66"/>
      <c r="T28" s="66">
        <f t="shared" si="2"/>
        <v>100000</v>
      </c>
      <c r="U28" s="66">
        <v>100000</v>
      </c>
      <c r="V28" s="66"/>
      <c r="W28" s="51">
        <v>116140</v>
      </c>
      <c r="X28" s="66">
        <f t="shared" si="3"/>
        <v>569300</v>
      </c>
      <c r="Y28" s="66">
        <v>1200</v>
      </c>
      <c r="Z28" s="66">
        <v>568100</v>
      </c>
      <c r="AA28" s="66"/>
      <c r="AB28" s="66"/>
      <c r="AC28" s="66"/>
      <c r="AD28" s="90">
        <f t="shared" si="4"/>
        <v>0</v>
      </c>
      <c r="AE28" s="66"/>
      <c r="AF28" s="66"/>
      <c r="AG28" s="66"/>
      <c r="AH28" s="90">
        <f t="shared" si="5"/>
        <v>0</v>
      </c>
      <c r="AI28" s="66">
        <v>0</v>
      </c>
      <c r="AJ28" s="66"/>
      <c r="AK28" s="66"/>
      <c r="AL28" s="66"/>
      <c r="AM28" s="66"/>
      <c r="AN28" s="66"/>
      <c r="AO28" s="66"/>
      <c r="AP28" s="90">
        <f t="shared" si="6"/>
        <v>100420</v>
      </c>
      <c r="AQ28" s="66">
        <v>16520</v>
      </c>
      <c r="AR28" s="66">
        <v>21250</v>
      </c>
      <c r="AS28" s="66">
        <v>60750</v>
      </c>
      <c r="AT28" s="66">
        <v>1900</v>
      </c>
      <c r="AU28" s="66"/>
      <c r="AV28" s="66">
        <v>12900</v>
      </c>
      <c r="AW28" s="66">
        <v>12900</v>
      </c>
      <c r="AX28" s="66"/>
      <c r="AY28" s="51">
        <v>619972.81999999995</v>
      </c>
      <c r="AZ28" s="66"/>
      <c r="BA28" s="66"/>
      <c r="BB28" s="66"/>
      <c r="BC28" s="66"/>
      <c r="BD28" s="66"/>
      <c r="BE28" s="66"/>
      <c r="BF28" s="66"/>
      <c r="BG28" s="66"/>
      <c r="BH28" s="90">
        <f t="shared" si="7"/>
        <v>432650</v>
      </c>
      <c r="BI28" s="90">
        <v>30000</v>
      </c>
      <c r="BJ28" s="66"/>
      <c r="BK28" s="90">
        <v>87500</v>
      </c>
      <c r="BL28" s="90"/>
      <c r="BM28" s="90">
        <v>315150</v>
      </c>
      <c r="BN28" s="66"/>
      <c r="BO28" s="66"/>
      <c r="BP28" s="66"/>
      <c r="BQ28" s="66">
        <f t="shared" si="8"/>
        <v>0</v>
      </c>
      <c r="BR28" s="66"/>
      <c r="BS28" s="66"/>
      <c r="BT28" s="66"/>
      <c r="BU28" s="66">
        <v>198900</v>
      </c>
      <c r="BV28" s="66"/>
      <c r="BW28" s="66"/>
      <c r="BX28" s="90">
        <f t="shared" si="9"/>
        <v>0</v>
      </c>
      <c r="BY28" s="90">
        <v>0</v>
      </c>
      <c r="BZ28" s="90"/>
      <c r="CA28" s="90"/>
      <c r="CB28" s="90"/>
      <c r="CC28" s="90"/>
      <c r="CD28" s="90"/>
      <c r="CE28" s="49"/>
      <c r="CF28" s="66">
        <f t="shared" si="17"/>
        <v>0</v>
      </c>
      <c r="CG28" s="66"/>
      <c r="CH28" s="66"/>
      <c r="CI28" s="51">
        <f t="shared" si="10"/>
        <v>101970082.81999999</v>
      </c>
      <c r="CJ28" s="81"/>
      <c r="CK28" s="367"/>
      <c r="CL28" s="367"/>
      <c r="CM28" s="81"/>
      <c r="CN28" s="367"/>
      <c r="CO28" s="367"/>
      <c r="CP28" s="1485"/>
      <c r="CQ28" s="36"/>
      <c r="CR28" s="367"/>
      <c r="CS28" s="36"/>
      <c r="CT28" s="1485"/>
      <c r="CU28" s="1485">
        <f t="shared" si="11"/>
        <v>0</v>
      </c>
      <c r="CV28" s="36"/>
      <c r="CW28" s="36"/>
      <c r="CX28" s="36"/>
      <c r="CY28" s="36"/>
      <c r="CZ28" s="36"/>
    </row>
    <row r="29" spans="1:104">
      <c r="A29" s="452" t="s">
        <v>658</v>
      </c>
      <c r="B29" s="1131" t="s">
        <v>1148</v>
      </c>
      <c r="C29" s="199"/>
      <c r="D29" s="199">
        <f>'дод 1.2'!D496</f>
        <v>0</v>
      </c>
      <c r="E29" s="199"/>
      <c r="F29" s="415"/>
      <c r="G29" s="415">
        <f>'дод 1.2'!E496</f>
        <v>1000000</v>
      </c>
      <c r="H29" s="415">
        <f t="shared" si="0"/>
        <v>1000000</v>
      </c>
      <c r="I29" s="66">
        <v>7322900</v>
      </c>
      <c r="J29" s="66">
        <v>22449200</v>
      </c>
      <c r="K29" s="66">
        <v>8329600</v>
      </c>
      <c r="L29" s="66">
        <v>76712400</v>
      </c>
      <c r="M29" s="66"/>
      <c r="N29" s="66"/>
      <c r="O29" s="66"/>
      <c r="P29" s="66">
        <v>1666600</v>
      </c>
      <c r="Q29" s="66">
        <f t="shared" si="1"/>
        <v>467860</v>
      </c>
      <c r="R29" s="66">
        <v>300000</v>
      </c>
      <c r="S29" s="66">
        <v>132860</v>
      </c>
      <c r="T29" s="66">
        <f t="shared" si="2"/>
        <v>35000</v>
      </c>
      <c r="U29" s="66">
        <v>20000</v>
      </c>
      <c r="V29" s="66">
        <v>15000</v>
      </c>
      <c r="W29" s="51">
        <v>117760</v>
      </c>
      <c r="X29" s="66">
        <f t="shared" si="3"/>
        <v>581000</v>
      </c>
      <c r="Y29" s="66">
        <v>28200</v>
      </c>
      <c r="Z29" s="66">
        <v>552800</v>
      </c>
      <c r="AA29" s="66">
        <f>97400+53444</f>
        <v>150844</v>
      </c>
      <c r="AB29" s="66"/>
      <c r="AC29" s="66"/>
      <c r="AD29" s="90">
        <f t="shared" si="4"/>
        <v>994960</v>
      </c>
      <c r="AE29" s="66">
        <f>1040760-45800</f>
        <v>994960</v>
      </c>
      <c r="AF29" s="66"/>
      <c r="AG29" s="66"/>
      <c r="AH29" s="90">
        <f t="shared" si="5"/>
        <v>392200</v>
      </c>
      <c r="AI29" s="66">
        <v>248400</v>
      </c>
      <c r="AJ29" s="66">
        <v>80600</v>
      </c>
      <c r="AK29" s="66"/>
      <c r="AL29" s="66">
        <v>40900</v>
      </c>
      <c r="AM29" s="66">
        <v>22300</v>
      </c>
      <c r="AN29" s="66"/>
      <c r="AO29" s="66"/>
      <c r="AP29" s="90">
        <f t="shared" si="6"/>
        <v>727530</v>
      </c>
      <c r="AQ29" s="66">
        <v>206460</v>
      </c>
      <c r="AR29" s="66">
        <v>259270</v>
      </c>
      <c r="AS29" s="66">
        <v>243000</v>
      </c>
      <c r="AT29" s="66">
        <v>18800</v>
      </c>
      <c r="AU29" s="66"/>
      <c r="AV29" s="66">
        <v>1896026</v>
      </c>
      <c r="AW29" s="66">
        <v>1896026</v>
      </c>
      <c r="AX29" s="66"/>
      <c r="AY29" s="51"/>
      <c r="AZ29" s="66"/>
      <c r="BA29" s="66"/>
      <c r="BB29" s="66"/>
      <c r="BC29" s="66"/>
      <c r="BD29" s="66"/>
      <c r="BE29" s="66"/>
      <c r="BF29" s="66"/>
      <c r="BG29" s="66"/>
      <c r="BH29" s="90">
        <f t="shared" si="7"/>
        <v>708531</v>
      </c>
      <c r="BI29" s="90">
        <v>131812</v>
      </c>
      <c r="BJ29" s="66">
        <v>300000</v>
      </c>
      <c r="BK29" s="90">
        <v>17300</v>
      </c>
      <c r="BL29" s="90"/>
      <c r="BM29" s="90">
        <v>259419</v>
      </c>
      <c r="BN29" s="66"/>
      <c r="BO29" s="66"/>
      <c r="BP29" s="66"/>
      <c r="BQ29" s="66">
        <f t="shared" si="8"/>
        <v>0</v>
      </c>
      <c r="BR29" s="66"/>
      <c r="BS29" s="66"/>
      <c r="BT29" s="66"/>
      <c r="BU29" s="66">
        <v>166700</v>
      </c>
      <c r="BV29" s="66"/>
      <c r="BW29" s="66"/>
      <c r="BX29" s="90">
        <f t="shared" si="9"/>
        <v>197100</v>
      </c>
      <c r="BY29" s="90">
        <v>92100</v>
      </c>
      <c r="BZ29" s="90">
        <f>105000</f>
        <v>105000</v>
      </c>
      <c r="CA29" s="90"/>
      <c r="CB29" s="90"/>
      <c r="CC29" s="90"/>
      <c r="CD29" s="90"/>
      <c r="CE29" s="49"/>
      <c r="CF29" s="66">
        <f t="shared" si="17"/>
        <v>0</v>
      </c>
      <c r="CG29" s="66"/>
      <c r="CH29" s="66"/>
      <c r="CI29" s="51">
        <f t="shared" si="10"/>
        <v>122881211</v>
      </c>
      <c r="CJ29" s="81"/>
      <c r="CK29" s="367"/>
      <c r="CL29" s="367"/>
      <c r="CM29" s="81"/>
      <c r="CN29" s="367"/>
      <c r="CO29" s="367"/>
      <c r="CP29" s="1485"/>
      <c r="CQ29" s="36"/>
      <c r="CR29" s="367"/>
      <c r="CS29" s="36"/>
      <c r="CT29" s="1485"/>
      <c r="CU29" s="1485">
        <f t="shared" si="11"/>
        <v>0</v>
      </c>
      <c r="CV29" s="36"/>
      <c r="CW29" s="36"/>
      <c r="CX29" s="36"/>
      <c r="CY29" s="36"/>
      <c r="CZ29" s="36"/>
    </row>
    <row r="30" spans="1:104">
      <c r="A30" s="452" t="s">
        <v>659</v>
      </c>
      <c r="B30" s="1131" t="s">
        <v>1149</v>
      </c>
      <c r="C30" s="199"/>
      <c r="D30" s="199"/>
      <c r="E30" s="199"/>
      <c r="F30" s="415"/>
      <c r="G30" s="415">
        <f>'дод 1.2'!C535</f>
        <v>42000</v>
      </c>
      <c r="H30" s="415">
        <f t="shared" si="0"/>
        <v>42000</v>
      </c>
      <c r="I30" s="66">
        <v>3723400</v>
      </c>
      <c r="J30" s="66">
        <v>12700700</v>
      </c>
      <c r="K30" s="66">
        <v>17907600</v>
      </c>
      <c r="L30" s="66">
        <v>80399300</v>
      </c>
      <c r="M30" s="66"/>
      <c r="N30" s="66"/>
      <c r="O30" s="66"/>
      <c r="P30" s="66">
        <v>932100</v>
      </c>
      <c r="Q30" s="66">
        <f t="shared" si="1"/>
        <v>1250000</v>
      </c>
      <c r="R30" s="66">
        <v>1250000</v>
      </c>
      <c r="S30" s="66"/>
      <c r="T30" s="66">
        <f t="shared" si="2"/>
        <v>0</v>
      </c>
      <c r="U30" s="66"/>
      <c r="V30" s="66"/>
      <c r="W30" s="51">
        <v>99900</v>
      </c>
      <c r="X30" s="66">
        <f t="shared" si="3"/>
        <v>508700</v>
      </c>
      <c r="Y30" s="66">
        <v>2000</v>
      </c>
      <c r="Z30" s="66">
        <v>506700</v>
      </c>
      <c r="AA30" s="66">
        <f>247100+4085</f>
        <v>251185</v>
      </c>
      <c r="AB30" s="66"/>
      <c r="AC30" s="66"/>
      <c r="AD30" s="90">
        <f t="shared" si="4"/>
        <v>0</v>
      </c>
      <c r="AE30" s="66"/>
      <c r="AF30" s="66"/>
      <c r="AG30" s="66"/>
      <c r="AH30" s="90">
        <f t="shared" si="5"/>
        <v>164500</v>
      </c>
      <c r="AI30" s="66">
        <v>124200</v>
      </c>
      <c r="AJ30" s="66">
        <v>40300</v>
      </c>
      <c r="AK30" s="66"/>
      <c r="AL30" s="66"/>
      <c r="AM30" s="66"/>
      <c r="AN30" s="66"/>
      <c r="AO30" s="66"/>
      <c r="AP30" s="90">
        <f t="shared" si="6"/>
        <v>395150</v>
      </c>
      <c r="AQ30" s="66">
        <v>93590</v>
      </c>
      <c r="AR30" s="66">
        <v>90760</v>
      </c>
      <c r="AS30" s="66">
        <v>202500</v>
      </c>
      <c r="AT30" s="66">
        <v>8300</v>
      </c>
      <c r="AU30" s="66"/>
      <c r="AV30" s="66">
        <v>210444</v>
      </c>
      <c r="AW30" s="66">
        <v>210444</v>
      </c>
      <c r="AX30" s="66"/>
      <c r="AY30" s="51"/>
      <c r="AZ30" s="66"/>
      <c r="BA30" s="66"/>
      <c r="BB30" s="66"/>
      <c r="BC30" s="66"/>
      <c r="BD30" s="66"/>
      <c r="BE30" s="66"/>
      <c r="BF30" s="66"/>
      <c r="BG30" s="66"/>
      <c r="BH30" s="90">
        <f t="shared" si="7"/>
        <v>1312538</v>
      </c>
      <c r="BI30" s="90">
        <v>87902</v>
      </c>
      <c r="BJ30" s="66">
        <v>223000</v>
      </c>
      <c r="BK30" s="90">
        <v>697500</v>
      </c>
      <c r="BL30" s="90"/>
      <c r="BM30" s="90">
        <v>304136</v>
      </c>
      <c r="BN30" s="66"/>
      <c r="BO30" s="66"/>
      <c r="BP30" s="66"/>
      <c r="BQ30" s="66">
        <f t="shared" si="8"/>
        <v>0</v>
      </c>
      <c r="BR30" s="66"/>
      <c r="BS30" s="66"/>
      <c r="BT30" s="66"/>
      <c r="BU30" s="66">
        <v>335300</v>
      </c>
      <c r="BV30" s="66"/>
      <c r="BW30" s="66"/>
      <c r="BX30" s="90">
        <f t="shared" si="9"/>
        <v>355400</v>
      </c>
      <c r="BY30" s="90">
        <v>108400</v>
      </c>
      <c r="BZ30" s="90">
        <f>247000</f>
        <v>247000</v>
      </c>
      <c r="CA30" s="90"/>
      <c r="CB30" s="90"/>
      <c r="CC30" s="90"/>
      <c r="CD30" s="90"/>
      <c r="CE30" s="49"/>
      <c r="CF30" s="66">
        <f t="shared" si="17"/>
        <v>0</v>
      </c>
      <c r="CG30" s="66"/>
      <c r="CH30" s="66"/>
      <c r="CI30" s="51">
        <f t="shared" si="10"/>
        <v>120546217</v>
      </c>
      <c r="CJ30" s="81"/>
      <c r="CK30" s="367"/>
      <c r="CL30" s="367"/>
      <c r="CM30" s="81"/>
      <c r="CN30" s="367"/>
      <c r="CO30" s="367"/>
      <c r="CP30" s="1485"/>
      <c r="CQ30" s="36"/>
      <c r="CR30" s="367"/>
      <c r="CS30" s="36"/>
      <c r="CT30" s="1485"/>
      <c r="CU30" s="1485">
        <f t="shared" si="11"/>
        <v>0</v>
      </c>
      <c r="CV30" s="36"/>
      <c r="CW30" s="36"/>
      <c r="CX30" s="36"/>
      <c r="CY30" s="36"/>
      <c r="CZ30" s="36"/>
    </row>
    <row r="31" spans="1:104">
      <c r="A31" s="452" t="s">
        <v>660</v>
      </c>
      <c r="B31" s="1131" t="s">
        <v>1150</v>
      </c>
      <c r="C31" s="199"/>
      <c r="D31" s="932">
        <f>'дод 1.2'!D605</f>
        <v>9000</v>
      </c>
      <c r="E31" s="199"/>
      <c r="F31" s="415">
        <f>'дод1.1'!E120</f>
        <v>11000</v>
      </c>
      <c r="G31" s="415">
        <f>'дод 1.2'!E605</f>
        <v>0</v>
      </c>
      <c r="H31" s="415">
        <f t="shared" si="0"/>
        <v>20000</v>
      </c>
      <c r="I31" s="66">
        <v>13086000</v>
      </c>
      <c r="J31" s="66">
        <v>45121300</v>
      </c>
      <c r="K31" s="66">
        <v>4177700</v>
      </c>
      <c r="L31" s="66">
        <v>106305700</v>
      </c>
      <c r="M31" s="66"/>
      <c r="N31" s="66"/>
      <c r="O31" s="66"/>
      <c r="P31" s="66">
        <v>3679700</v>
      </c>
      <c r="Q31" s="66">
        <f t="shared" si="1"/>
        <v>565000</v>
      </c>
      <c r="R31" s="66">
        <v>500000</v>
      </c>
      <c r="S31" s="66"/>
      <c r="T31" s="66">
        <f t="shared" si="2"/>
        <v>65000</v>
      </c>
      <c r="U31" s="66">
        <v>40000</v>
      </c>
      <c r="V31" s="66">
        <v>25000</v>
      </c>
      <c r="W31" s="51">
        <v>281820</v>
      </c>
      <c r="X31" s="66">
        <f t="shared" si="3"/>
        <v>1389900</v>
      </c>
      <c r="Y31" s="66">
        <v>42500</v>
      </c>
      <c r="Z31" s="66">
        <v>1347400</v>
      </c>
      <c r="AA31" s="66">
        <f>267300+48505</f>
        <v>315805</v>
      </c>
      <c r="AB31" s="66"/>
      <c r="AC31" s="66"/>
      <c r="AD31" s="90">
        <f t="shared" si="4"/>
        <v>1997160</v>
      </c>
      <c r="AE31" s="66">
        <v>1040760</v>
      </c>
      <c r="AF31" s="66">
        <v>956400</v>
      </c>
      <c r="AG31" s="66"/>
      <c r="AH31" s="90">
        <f t="shared" si="5"/>
        <v>384500</v>
      </c>
      <c r="AI31" s="66">
        <v>230600</v>
      </c>
      <c r="AJ31" s="66">
        <v>74900</v>
      </c>
      <c r="AK31" s="66"/>
      <c r="AL31" s="66">
        <v>51100</v>
      </c>
      <c r="AM31" s="66">
        <v>27900</v>
      </c>
      <c r="AN31" s="66"/>
      <c r="AO31" s="66"/>
      <c r="AP31" s="90">
        <f t="shared" si="6"/>
        <v>1154420</v>
      </c>
      <c r="AQ31" s="66">
        <v>283540</v>
      </c>
      <c r="AR31" s="66">
        <v>403780</v>
      </c>
      <c r="AS31" s="66">
        <v>445500</v>
      </c>
      <c r="AT31" s="66">
        <v>21600</v>
      </c>
      <c r="AU31" s="66"/>
      <c r="AV31" s="66">
        <v>95324</v>
      </c>
      <c r="AW31" s="66">
        <v>95324</v>
      </c>
      <c r="AX31" s="66"/>
      <c r="AY31" s="51"/>
      <c r="AZ31" s="66"/>
      <c r="BA31" s="66"/>
      <c r="BB31" s="66"/>
      <c r="BC31" s="66"/>
      <c r="BD31" s="66"/>
      <c r="BE31" s="66"/>
      <c r="BF31" s="66"/>
      <c r="BG31" s="66"/>
      <c r="BH31" s="90">
        <f t="shared" si="7"/>
        <v>1328826</v>
      </c>
      <c r="BI31" s="90">
        <v>89917</v>
      </c>
      <c r="BJ31" s="66">
        <f>470000</f>
        <v>470000</v>
      </c>
      <c r="BK31" s="90">
        <v>157700</v>
      </c>
      <c r="BL31" s="90"/>
      <c r="BM31" s="90">
        <v>611209</v>
      </c>
      <c r="BN31" s="66"/>
      <c r="BO31" s="66"/>
      <c r="BP31" s="66"/>
      <c r="BQ31" s="66">
        <f t="shared" si="8"/>
        <v>0</v>
      </c>
      <c r="BR31" s="66"/>
      <c r="BS31" s="66"/>
      <c r="BT31" s="66"/>
      <c r="BU31" s="66">
        <v>233500</v>
      </c>
      <c r="BV31" s="66"/>
      <c r="BW31" s="66"/>
      <c r="BX31" s="90">
        <f t="shared" si="9"/>
        <v>1912195</v>
      </c>
      <c r="BY31" s="90">
        <v>227195</v>
      </c>
      <c r="BZ31" s="90">
        <f>335000</f>
        <v>335000</v>
      </c>
      <c r="CA31" s="90">
        <v>1000000</v>
      </c>
      <c r="CB31" s="90"/>
      <c r="CC31" s="90"/>
      <c r="CD31" s="90"/>
      <c r="CE31" s="49"/>
      <c r="CF31" s="66">
        <f t="shared" si="17"/>
        <v>350000</v>
      </c>
      <c r="CG31" s="66">
        <v>50000</v>
      </c>
      <c r="CH31" s="66">
        <v>300000</v>
      </c>
      <c r="CI31" s="51">
        <f t="shared" si="10"/>
        <v>182028850</v>
      </c>
      <c r="CJ31" s="81"/>
      <c r="CK31" s="367"/>
      <c r="CL31" s="367"/>
      <c r="CM31" s="81"/>
      <c r="CN31" s="367"/>
      <c r="CO31" s="367"/>
      <c r="CP31" s="1485"/>
      <c r="CQ31" s="36"/>
      <c r="CR31" s="367"/>
      <c r="CS31" s="36"/>
      <c r="CT31" s="1485"/>
      <c r="CU31" s="1485">
        <f t="shared" si="11"/>
        <v>0</v>
      </c>
      <c r="CV31" s="36"/>
      <c r="CW31" s="36"/>
      <c r="CX31" s="36"/>
      <c r="CY31" s="36"/>
      <c r="CZ31" s="36"/>
    </row>
    <row r="32" spans="1:104">
      <c r="A32" s="452" t="s">
        <v>661</v>
      </c>
      <c r="B32" s="1131" t="s">
        <v>1151</v>
      </c>
      <c r="C32" s="199"/>
      <c r="D32" s="932">
        <f>'дод 1.2'!D703</f>
        <v>70000</v>
      </c>
      <c r="E32" s="199"/>
      <c r="F32" s="415"/>
      <c r="G32" s="415">
        <f>'дод 1.2'!E703</f>
        <v>0</v>
      </c>
      <c r="H32" s="415">
        <f t="shared" si="0"/>
        <v>70000</v>
      </c>
      <c r="I32" s="66">
        <v>5410300</v>
      </c>
      <c r="J32" s="66">
        <v>8998300</v>
      </c>
      <c r="K32" s="66">
        <v>11459000</v>
      </c>
      <c r="L32" s="66">
        <v>52849500</v>
      </c>
      <c r="M32" s="66"/>
      <c r="N32" s="66"/>
      <c r="O32" s="66"/>
      <c r="P32" s="66">
        <v>801800</v>
      </c>
      <c r="Q32" s="66">
        <f t="shared" si="1"/>
        <v>0</v>
      </c>
      <c r="R32" s="66"/>
      <c r="S32" s="66"/>
      <c r="T32" s="66">
        <f t="shared" si="2"/>
        <v>0</v>
      </c>
      <c r="U32" s="66"/>
      <c r="V32" s="66"/>
      <c r="W32" s="51">
        <v>69040</v>
      </c>
      <c r="X32" s="66">
        <f t="shared" si="3"/>
        <v>338100</v>
      </c>
      <c r="Y32" s="66">
        <v>23300</v>
      </c>
      <c r="Z32" s="66">
        <v>314800</v>
      </c>
      <c r="AA32" s="66">
        <f>251500+2888</f>
        <v>254388</v>
      </c>
      <c r="AB32" s="66"/>
      <c r="AC32" s="66"/>
      <c r="AD32" s="90">
        <f t="shared" si="4"/>
        <v>0</v>
      </c>
      <c r="AE32" s="66"/>
      <c r="AF32" s="66"/>
      <c r="AG32" s="66"/>
      <c r="AH32" s="90">
        <f t="shared" si="5"/>
        <v>47000</v>
      </c>
      <c r="AI32" s="66">
        <v>35500</v>
      </c>
      <c r="AJ32" s="66">
        <v>11500</v>
      </c>
      <c r="AK32" s="66"/>
      <c r="AL32" s="66"/>
      <c r="AM32" s="66"/>
      <c r="AN32" s="66"/>
      <c r="AO32" s="66"/>
      <c r="AP32" s="90">
        <f t="shared" si="6"/>
        <v>713320</v>
      </c>
      <c r="AQ32" s="66">
        <v>159660</v>
      </c>
      <c r="AR32" s="66">
        <v>151510</v>
      </c>
      <c r="AS32" s="66">
        <v>384750</v>
      </c>
      <c r="AT32" s="66">
        <v>17400</v>
      </c>
      <c r="AU32" s="66"/>
      <c r="AV32" s="66">
        <v>275625</v>
      </c>
      <c r="AW32" s="66">
        <v>275625</v>
      </c>
      <c r="AX32" s="66"/>
      <c r="AY32" s="51">
        <v>509029.92</v>
      </c>
      <c r="AZ32" s="66"/>
      <c r="BA32" s="66"/>
      <c r="BB32" s="66"/>
      <c r="BC32" s="66">
        <v>1320</v>
      </c>
      <c r="BD32" s="66">
        <v>1320</v>
      </c>
      <c r="BE32" s="70"/>
      <c r="BF32" s="66"/>
      <c r="BG32" s="66"/>
      <c r="BH32" s="90">
        <f t="shared" si="7"/>
        <v>1059136</v>
      </c>
      <c r="BI32" s="90">
        <v>125000</v>
      </c>
      <c r="BJ32" s="66">
        <f>70000</f>
        <v>70000</v>
      </c>
      <c r="BK32" s="90">
        <v>648700</v>
      </c>
      <c r="BL32" s="90"/>
      <c r="BM32" s="90">
        <v>215436</v>
      </c>
      <c r="BN32" s="66"/>
      <c r="BO32" s="66"/>
      <c r="BP32" s="66"/>
      <c r="BQ32" s="66">
        <f t="shared" si="8"/>
        <v>0</v>
      </c>
      <c r="BR32" s="66"/>
      <c r="BS32" s="66"/>
      <c r="BT32" s="66"/>
      <c r="BU32" s="66">
        <v>311900</v>
      </c>
      <c r="BV32" s="66"/>
      <c r="BW32" s="66"/>
      <c r="BX32" s="90">
        <f t="shared" si="9"/>
        <v>186000</v>
      </c>
      <c r="BY32" s="90">
        <v>75000</v>
      </c>
      <c r="BZ32" s="90">
        <v>81000</v>
      </c>
      <c r="CA32" s="90"/>
      <c r="CB32" s="90"/>
      <c r="CC32" s="90"/>
      <c r="CD32" s="90"/>
      <c r="CE32" s="49"/>
      <c r="CF32" s="66">
        <f t="shared" si="17"/>
        <v>30000</v>
      </c>
      <c r="CG32" s="66"/>
      <c r="CH32" s="66">
        <v>30000</v>
      </c>
      <c r="CI32" s="51">
        <f t="shared" si="10"/>
        <v>83283758.920000002</v>
      </c>
      <c r="CJ32" s="81"/>
      <c r="CK32" s="367"/>
      <c r="CL32" s="367"/>
      <c r="CM32" s="81"/>
      <c r="CN32" s="367"/>
      <c r="CO32" s="367"/>
      <c r="CP32" s="1485"/>
      <c r="CQ32" s="36"/>
      <c r="CR32" s="367"/>
      <c r="CS32" s="36"/>
      <c r="CT32" s="1485"/>
      <c r="CU32" s="1485">
        <f t="shared" si="11"/>
        <v>0</v>
      </c>
      <c r="CV32" s="36"/>
      <c r="CW32" s="36"/>
      <c r="CX32" s="36"/>
      <c r="CY32" s="36"/>
      <c r="CZ32" s="36"/>
    </row>
    <row r="33" spans="1:104">
      <c r="A33" s="452" t="s">
        <v>662</v>
      </c>
      <c r="B33" s="1131" t="s">
        <v>1152</v>
      </c>
      <c r="C33" s="199"/>
      <c r="D33" s="199"/>
      <c r="E33" s="199"/>
      <c r="F33" s="415"/>
      <c r="G33" s="415"/>
      <c r="H33" s="415">
        <f t="shared" si="0"/>
        <v>0</v>
      </c>
      <c r="I33" s="66">
        <v>2808000</v>
      </c>
      <c r="J33" s="66">
        <v>38077800</v>
      </c>
      <c r="K33" s="66">
        <v>9382900</v>
      </c>
      <c r="L33" s="66">
        <v>93128200</v>
      </c>
      <c r="M33" s="66"/>
      <c r="N33" s="66"/>
      <c r="O33" s="66"/>
      <c r="P33" s="66">
        <v>578500</v>
      </c>
      <c r="Q33" s="66">
        <f t="shared" si="1"/>
        <v>465000</v>
      </c>
      <c r="R33" s="66">
        <v>450000</v>
      </c>
      <c r="S33" s="66"/>
      <c r="T33" s="66">
        <f t="shared" si="2"/>
        <v>15000</v>
      </c>
      <c r="U33" s="66"/>
      <c r="V33" s="66">
        <v>15000</v>
      </c>
      <c r="W33" s="51">
        <v>190860</v>
      </c>
      <c r="X33" s="66">
        <f t="shared" si="3"/>
        <v>900500</v>
      </c>
      <c r="Y33" s="66">
        <v>13700</v>
      </c>
      <c r="Z33" s="66">
        <v>886800</v>
      </c>
      <c r="AA33" s="66">
        <v>297500</v>
      </c>
      <c r="AB33" s="66"/>
      <c r="AC33" s="66"/>
      <c r="AD33" s="90">
        <f t="shared" si="4"/>
        <v>0</v>
      </c>
      <c r="AE33" s="66"/>
      <c r="AF33" s="66"/>
      <c r="AG33" s="66"/>
      <c r="AH33" s="90">
        <f t="shared" si="5"/>
        <v>0</v>
      </c>
      <c r="AI33" s="66">
        <v>0</v>
      </c>
      <c r="AJ33" s="66"/>
      <c r="AK33" s="66"/>
      <c r="AL33" s="66"/>
      <c r="AM33" s="66"/>
      <c r="AN33" s="66"/>
      <c r="AO33" s="66"/>
      <c r="AP33" s="90">
        <f t="shared" si="6"/>
        <v>360700</v>
      </c>
      <c r="AQ33" s="66">
        <v>93590</v>
      </c>
      <c r="AR33" s="66">
        <v>75760</v>
      </c>
      <c r="AS33" s="66">
        <v>182250</v>
      </c>
      <c r="AT33" s="66">
        <v>9100</v>
      </c>
      <c r="AU33" s="66"/>
      <c r="AV33" s="66">
        <v>1610000</v>
      </c>
      <c r="AW33" s="66">
        <v>1610000</v>
      </c>
      <c r="AX33" s="66"/>
      <c r="AY33" s="51">
        <v>1899253.44</v>
      </c>
      <c r="AZ33" s="66"/>
      <c r="BA33" s="66"/>
      <c r="BB33" s="66"/>
      <c r="BC33" s="66">
        <f>215600+1320</f>
        <v>216920</v>
      </c>
      <c r="BD33" s="66">
        <v>1320</v>
      </c>
      <c r="BE33" s="66"/>
      <c r="BF33" s="66"/>
      <c r="BG33" s="66"/>
      <c r="BH33" s="90">
        <f t="shared" si="7"/>
        <v>707382</v>
      </c>
      <c r="BI33" s="90">
        <v>187000</v>
      </c>
      <c r="BJ33" s="66">
        <f>100000</f>
        <v>100000</v>
      </c>
      <c r="BK33" s="90">
        <v>43700</v>
      </c>
      <c r="BL33" s="90"/>
      <c r="BM33" s="90">
        <v>376682</v>
      </c>
      <c r="BN33" s="66"/>
      <c r="BO33" s="66"/>
      <c r="BP33" s="66"/>
      <c r="BQ33" s="66">
        <f t="shared" si="8"/>
        <v>0</v>
      </c>
      <c r="BR33" s="66"/>
      <c r="BS33" s="66"/>
      <c r="BT33" s="66"/>
      <c r="BU33" s="66">
        <v>221400</v>
      </c>
      <c r="BV33" s="66"/>
      <c r="BW33" s="66"/>
      <c r="BX33" s="90">
        <f t="shared" si="9"/>
        <v>120100</v>
      </c>
      <c r="BY33" s="90">
        <v>5100</v>
      </c>
      <c r="BZ33" s="90">
        <v>15000</v>
      </c>
      <c r="CA33" s="90"/>
      <c r="CB33" s="90"/>
      <c r="CC33" s="90"/>
      <c r="CD33" s="90"/>
      <c r="CE33" s="49"/>
      <c r="CF33" s="66">
        <f t="shared" si="17"/>
        <v>100000</v>
      </c>
      <c r="CG33" s="66"/>
      <c r="CH33" s="66">
        <v>100000</v>
      </c>
      <c r="CI33" s="51">
        <f t="shared" si="10"/>
        <v>150965015.44</v>
      </c>
      <c r="CJ33" s="81"/>
      <c r="CK33" s="367"/>
      <c r="CL33" s="367"/>
      <c r="CM33" s="81"/>
      <c r="CN33" s="367"/>
      <c r="CO33" s="367"/>
      <c r="CP33" s="1485"/>
      <c r="CQ33" s="36"/>
      <c r="CR33" s="367"/>
      <c r="CS33" s="36"/>
      <c r="CT33" s="1485"/>
      <c r="CU33" s="1485">
        <f t="shared" si="11"/>
        <v>0</v>
      </c>
      <c r="CV33" s="36"/>
      <c r="CW33" s="36"/>
      <c r="CX33" s="36"/>
      <c r="CY33" s="36"/>
      <c r="CZ33" s="36"/>
    </row>
    <row r="34" spans="1:104">
      <c r="A34" s="452" t="s">
        <v>663</v>
      </c>
      <c r="B34" s="1131" t="s">
        <v>1153</v>
      </c>
      <c r="C34" s="199"/>
      <c r="D34" s="199"/>
      <c r="E34" s="199"/>
      <c r="F34" s="415"/>
      <c r="G34" s="415"/>
      <c r="H34" s="415">
        <f t="shared" si="0"/>
        <v>0</v>
      </c>
      <c r="I34" s="66">
        <v>965700</v>
      </c>
      <c r="J34" s="66">
        <v>6006300</v>
      </c>
      <c r="K34" s="66">
        <v>10902200</v>
      </c>
      <c r="L34" s="66">
        <v>34032400</v>
      </c>
      <c r="M34" s="66"/>
      <c r="N34" s="66"/>
      <c r="O34" s="66"/>
      <c r="P34" s="66">
        <v>520400</v>
      </c>
      <c r="Q34" s="66">
        <f t="shared" si="1"/>
        <v>250000</v>
      </c>
      <c r="R34" s="66">
        <v>250000</v>
      </c>
      <c r="S34" s="66"/>
      <c r="T34" s="66">
        <f t="shared" si="2"/>
        <v>0</v>
      </c>
      <c r="U34" s="66"/>
      <c r="V34" s="66"/>
      <c r="W34" s="51">
        <v>90150</v>
      </c>
      <c r="X34" s="66">
        <f t="shared" si="3"/>
        <v>427900</v>
      </c>
      <c r="Y34" s="66">
        <v>1800</v>
      </c>
      <c r="Z34" s="66">
        <v>426100</v>
      </c>
      <c r="AA34" s="66"/>
      <c r="AB34" s="66"/>
      <c r="AC34" s="66"/>
      <c r="AD34" s="90">
        <f t="shared" si="4"/>
        <v>0</v>
      </c>
      <c r="AE34" s="66"/>
      <c r="AF34" s="66"/>
      <c r="AG34" s="66"/>
      <c r="AH34" s="90">
        <f t="shared" si="5"/>
        <v>0</v>
      </c>
      <c r="AI34" s="66">
        <v>0</v>
      </c>
      <c r="AJ34" s="66"/>
      <c r="AK34" s="66"/>
      <c r="AL34" s="66"/>
      <c r="AM34" s="66"/>
      <c r="AN34" s="66"/>
      <c r="AO34" s="66"/>
      <c r="AP34" s="90">
        <f t="shared" si="6"/>
        <v>138330</v>
      </c>
      <c r="AQ34" s="66">
        <v>30280</v>
      </c>
      <c r="AR34" s="66">
        <v>24250</v>
      </c>
      <c r="AS34" s="66">
        <v>81000</v>
      </c>
      <c r="AT34" s="66">
        <v>2800</v>
      </c>
      <c r="AU34" s="66"/>
      <c r="AV34" s="66">
        <v>126054</v>
      </c>
      <c r="AW34" s="66">
        <v>126054</v>
      </c>
      <c r="AX34" s="66"/>
      <c r="AY34" s="51">
        <v>2615354.96</v>
      </c>
      <c r="AZ34" s="66"/>
      <c r="BA34" s="66"/>
      <c r="BB34" s="66"/>
      <c r="BC34" s="66"/>
      <c r="BD34" s="66"/>
      <c r="BE34" s="66"/>
      <c r="BF34" s="66"/>
      <c r="BG34" s="66"/>
      <c r="BH34" s="90">
        <f t="shared" si="7"/>
        <v>1177256</v>
      </c>
      <c r="BI34" s="90">
        <v>50000</v>
      </c>
      <c r="BJ34" s="66"/>
      <c r="BK34" s="90">
        <v>989800</v>
      </c>
      <c r="BL34" s="90"/>
      <c r="BM34" s="90">
        <v>137456</v>
      </c>
      <c r="BN34" s="66"/>
      <c r="BO34" s="66"/>
      <c r="BP34" s="66"/>
      <c r="BQ34" s="66">
        <f t="shared" si="8"/>
        <v>0</v>
      </c>
      <c r="BR34" s="66"/>
      <c r="BS34" s="66"/>
      <c r="BT34" s="66"/>
      <c r="BU34" s="66">
        <v>136900</v>
      </c>
      <c r="BV34" s="66"/>
      <c r="BW34" s="66"/>
      <c r="BX34" s="90">
        <f t="shared" si="9"/>
        <v>25000</v>
      </c>
      <c r="BY34" s="90">
        <v>25000</v>
      </c>
      <c r="BZ34" s="90"/>
      <c r="CA34" s="90"/>
      <c r="CB34" s="90"/>
      <c r="CC34" s="90"/>
      <c r="CD34" s="90"/>
      <c r="CE34" s="49"/>
      <c r="CF34" s="66">
        <f t="shared" si="17"/>
        <v>0</v>
      </c>
      <c r="CG34" s="66"/>
      <c r="CH34" s="66">
        <f>150000-100000-50000</f>
        <v>0</v>
      </c>
      <c r="CI34" s="51">
        <f t="shared" si="10"/>
        <v>57413944.960000001</v>
      </c>
      <c r="CJ34" s="81"/>
      <c r="CK34" s="367"/>
      <c r="CL34" s="367"/>
      <c r="CM34" s="81"/>
      <c r="CN34" s="367"/>
      <c r="CO34" s="367"/>
      <c r="CP34" s="1485"/>
      <c r="CQ34" s="36"/>
      <c r="CR34" s="367"/>
      <c r="CS34" s="36"/>
      <c r="CT34" s="1485"/>
      <c r="CU34" s="1485">
        <f t="shared" si="11"/>
        <v>0</v>
      </c>
      <c r="CV34" s="36"/>
      <c r="CW34" s="36"/>
      <c r="CX34" s="36"/>
      <c r="CY34" s="36"/>
      <c r="CZ34" s="36"/>
    </row>
    <row r="35" spans="1:104">
      <c r="A35" s="452" t="s">
        <v>664</v>
      </c>
      <c r="B35" s="1131" t="s">
        <v>1154</v>
      </c>
      <c r="C35" s="199"/>
      <c r="D35" s="199"/>
      <c r="E35" s="199"/>
      <c r="F35" s="415"/>
      <c r="G35" s="415"/>
      <c r="H35" s="415">
        <f t="shared" si="0"/>
        <v>0</v>
      </c>
      <c r="I35" s="66">
        <v>2392500</v>
      </c>
      <c r="J35" s="66">
        <v>21350200</v>
      </c>
      <c r="K35" s="66">
        <v>1683100</v>
      </c>
      <c r="L35" s="66">
        <v>48240300</v>
      </c>
      <c r="M35" s="66"/>
      <c r="N35" s="66"/>
      <c r="O35" s="66"/>
      <c r="P35" s="66">
        <v>2006700</v>
      </c>
      <c r="Q35" s="66">
        <f t="shared" si="1"/>
        <v>325000</v>
      </c>
      <c r="R35" s="66">
        <v>300000</v>
      </c>
      <c r="S35" s="66"/>
      <c r="T35" s="66">
        <f t="shared" si="2"/>
        <v>25000</v>
      </c>
      <c r="U35" s="66"/>
      <c r="V35" s="66">
        <v>25000</v>
      </c>
      <c r="W35" s="51">
        <v>129950</v>
      </c>
      <c r="X35" s="66">
        <f t="shared" si="3"/>
        <v>630400</v>
      </c>
      <c r="Y35" s="66">
        <v>23900</v>
      </c>
      <c r="Z35" s="66">
        <v>606500</v>
      </c>
      <c r="AA35" s="66">
        <v>231100</v>
      </c>
      <c r="AB35" s="66"/>
      <c r="AC35" s="66"/>
      <c r="AD35" s="90">
        <f t="shared" si="4"/>
        <v>0</v>
      </c>
      <c r="AE35" s="66"/>
      <c r="AF35" s="66"/>
      <c r="AG35" s="66"/>
      <c r="AH35" s="90">
        <f t="shared" si="5"/>
        <v>0</v>
      </c>
      <c r="AI35" s="66">
        <v>0</v>
      </c>
      <c r="AJ35" s="66"/>
      <c r="AK35" s="66"/>
      <c r="AL35" s="66"/>
      <c r="AM35" s="66"/>
      <c r="AN35" s="66"/>
      <c r="AO35" s="66"/>
      <c r="AP35" s="90">
        <f t="shared" si="6"/>
        <v>271130</v>
      </c>
      <c r="AQ35" s="66">
        <v>66070</v>
      </c>
      <c r="AR35" s="66">
        <v>78260</v>
      </c>
      <c r="AS35" s="66">
        <v>121500</v>
      </c>
      <c r="AT35" s="66">
        <v>5300</v>
      </c>
      <c r="AU35" s="66"/>
      <c r="AV35" s="66"/>
      <c r="AW35" s="66"/>
      <c r="AX35" s="66"/>
      <c r="AY35" s="51"/>
      <c r="AZ35" s="66"/>
      <c r="BA35" s="66"/>
      <c r="BB35" s="66"/>
      <c r="BC35" s="66"/>
      <c r="BD35" s="66"/>
      <c r="BE35" s="66"/>
      <c r="BF35" s="66"/>
      <c r="BG35" s="66"/>
      <c r="BH35" s="90">
        <f t="shared" si="7"/>
        <v>289910</v>
      </c>
      <c r="BI35" s="90">
        <v>38000</v>
      </c>
      <c r="BJ35" s="66"/>
      <c r="BK35" s="90">
        <v>20100</v>
      </c>
      <c r="BL35" s="90"/>
      <c r="BM35" s="90">
        <v>231810</v>
      </c>
      <c r="BN35" s="66"/>
      <c r="BO35" s="66"/>
      <c r="BP35" s="66"/>
      <c r="BQ35" s="66">
        <f t="shared" si="8"/>
        <v>0</v>
      </c>
      <c r="BR35" s="66"/>
      <c r="BS35" s="66"/>
      <c r="BT35" s="66"/>
      <c r="BU35" s="66">
        <v>133700</v>
      </c>
      <c r="BV35" s="66"/>
      <c r="BW35" s="66"/>
      <c r="BX35" s="90">
        <f t="shared" si="9"/>
        <v>120000</v>
      </c>
      <c r="BY35" s="90">
        <v>30000</v>
      </c>
      <c r="BZ35" s="90"/>
      <c r="CA35" s="90"/>
      <c r="CB35" s="90"/>
      <c r="CC35" s="90"/>
      <c r="CD35" s="90"/>
      <c r="CE35" s="49"/>
      <c r="CF35" s="66">
        <f t="shared" si="17"/>
        <v>90000</v>
      </c>
      <c r="CG35" s="66"/>
      <c r="CH35" s="66">
        <v>90000</v>
      </c>
      <c r="CI35" s="51">
        <f t="shared" si="10"/>
        <v>77803990</v>
      </c>
      <c r="CJ35" s="81"/>
      <c r="CK35" s="367"/>
      <c r="CL35" s="367"/>
      <c r="CM35" s="81"/>
      <c r="CN35" s="367"/>
      <c r="CO35" s="367"/>
      <c r="CP35" s="36"/>
      <c r="CQ35" s="36"/>
      <c r="CR35" s="367"/>
      <c r="CS35" s="36"/>
      <c r="CT35" s="1485"/>
      <c r="CU35" s="1485">
        <f t="shared" si="11"/>
        <v>0</v>
      </c>
      <c r="CV35" s="36"/>
      <c r="CW35" s="36"/>
      <c r="CX35" s="36"/>
      <c r="CY35" s="36"/>
      <c r="CZ35" s="36"/>
    </row>
    <row r="36" spans="1:104">
      <c r="A36" s="452" t="s">
        <v>665</v>
      </c>
      <c r="B36" s="1131" t="s">
        <v>1155</v>
      </c>
      <c r="C36" s="199"/>
      <c r="D36" s="199"/>
      <c r="E36" s="199"/>
      <c r="F36" s="415">
        <f>'дод1.1'!E50</f>
        <v>1844994</v>
      </c>
      <c r="G36" s="415"/>
      <c r="H36" s="415">
        <f t="shared" si="0"/>
        <v>1844994</v>
      </c>
      <c r="I36" s="66">
        <v>4413800</v>
      </c>
      <c r="J36" s="66">
        <v>5022100</v>
      </c>
      <c r="K36" s="66">
        <v>10314300</v>
      </c>
      <c r="L36" s="66">
        <v>39332900</v>
      </c>
      <c r="M36" s="66"/>
      <c r="N36" s="66"/>
      <c r="O36" s="66"/>
      <c r="P36" s="66">
        <v>665700</v>
      </c>
      <c r="Q36" s="66">
        <f t="shared" si="1"/>
        <v>500000</v>
      </c>
      <c r="R36" s="66">
        <v>500000</v>
      </c>
      <c r="S36" s="66"/>
      <c r="T36" s="66">
        <f t="shared" si="2"/>
        <v>0</v>
      </c>
      <c r="U36" s="66"/>
      <c r="V36" s="66"/>
      <c r="W36" s="51"/>
      <c r="X36" s="66">
        <f t="shared" si="3"/>
        <v>20400</v>
      </c>
      <c r="Y36" s="66">
        <v>20400</v>
      </c>
      <c r="Z36" s="66"/>
      <c r="AA36" s="66"/>
      <c r="AB36" s="66"/>
      <c r="AC36" s="66"/>
      <c r="AD36" s="90">
        <f t="shared" si="4"/>
        <v>994960</v>
      </c>
      <c r="AE36" s="66">
        <f>1040760-45800</f>
        <v>994960</v>
      </c>
      <c r="AF36" s="66"/>
      <c r="AG36" s="66"/>
      <c r="AH36" s="90">
        <f t="shared" si="5"/>
        <v>117500</v>
      </c>
      <c r="AI36" s="66">
        <v>88700</v>
      </c>
      <c r="AJ36" s="66">
        <v>28800</v>
      </c>
      <c r="AK36" s="66"/>
      <c r="AL36" s="66"/>
      <c r="AM36" s="66"/>
      <c r="AN36" s="66"/>
      <c r="AO36" s="66"/>
      <c r="AP36" s="90">
        <f t="shared" si="6"/>
        <v>771550</v>
      </c>
      <c r="AQ36" s="66">
        <v>184440</v>
      </c>
      <c r="AR36" s="66">
        <v>165010</v>
      </c>
      <c r="AS36" s="66">
        <v>405000</v>
      </c>
      <c r="AT36" s="66">
        <v>17100</v>
      </c>
      <c r="AU36" s="66"/>
      <c r="AV36" s="66">
        <v>800000</v>
      </c>
      <c r="AW36" s="66">
        <v>800000</v>
      </c>
      <c r="AX36" s="66"/>
      <c r="AY36" s="51"/>
      <c r="AZ36" s="66"/>
      <c r="BA36" s="66"/>
      <c r="BB36" s="66"/>
      <c r="BC36" s="66"/>
      <c r="BD36" s="66"/>
      <c r="BE36" s="66"/>
      <c r="BF36" s="66"/>
      <c r="BG36" s="66"/>
      <c r="BH36" s="90">
        <f t="shared" si="7"/>
        <v>460614</v>
      </c>
      <c r="BI36" s="90">
        <v>147000</v>
      </c>
      <c r="BJ36" s="66"/>
      <c r="BK36" s="90">
        <v>156700</v>
      </c>
      <c r="BL36" s="90"/>
      <c r="BM36" s="90">
        <v>156914</v>
      </c>
      <c r="BN36" s="66"/>
      <c r="BO36" s="66"/>
      <c r="BP36" s="66"/>
      <c r="BQ36" s="66">
        <f t="shared" si="8"/>
        <v>0</v>
      </c>
      <c r="BR36" s="66"/>
      <c r="BS36" s="66"/>
      <c r="BT36" s="66"/>
      <c r="BU36" s="66">
        <v>320900</v>
      </c>
      <c r="BV36" s="66"/>
      <c r="BW36" s="66"/>
      <c r="BX36" s="90">
        <f t="shared" si="9"/>
        <v>282000</v>
      </c>
      <c r="BY36" s="90">
        <v>12000</v>
      </c>
      <c r="BZ36" s="90">
        <v>120000</v>
      </c>
      <c r="CA36" s="90"/>
      <c r="CB36" s="90"/>
      <c r="CC36" s="90"/>
      <c r="CD36" s="90"/>
      <c r="CE36" s="49"/>
      <c r="CF36" s="66">
        <f t="shared" si="17"/>
        <v>150000</v>
      </c>
      <c r="CG36" s="66"/>
      <c r="CH36" s="66">
        <v>150000</v>
      </c>
      <c r="CI36" s="51">
        <f t="shared" si="10"/>
        <v>64016724</v>
      </c>
      <c r="CJ36" s="81"/>
      <c r="CK36" s="367"/>
      <c r="CL36" s="367"/>
      <c r="CM36" s="81"/>
      <c r="CN36" s="367"/>
      <c r="CO36" s="367"/>
      <c r="CP36" s="1485"/>
      <c r="CQ36" s="36"/>
      <c r="CR36" s="367"/>
      <c r="CS36" s="36"/>
      <c r="CT36" s="1485"/>
      <c r="CU36" s="1485">
        <f t="shared" si="11"/>
        <v>0</v>
      </c>
      <c r="CV36" s="36"/>
      <c r="CW36" s="36"/>
      <c r="CX36" s="36"/>
      <c r="CY36" s="36"/>
      <c r="CZ36" s="36"/>
    </row>
    <row r="37" spans="1:104">
      <c r="A37" s="452" t="s">
        <v>666</v>
      </c>
      <c r="B37" s="1131" t="s">
        <v>1156</v>
      </c>
      <c r="C37" s="199"/>
      <c r="D37" s="199"/>
      <c r="E37" s="199"/>
      <c r="F37" s="415"/>
      <c r="G37" s="415"/>
      <c r="H37" s="415">
        <f t="shared" si="0"/>
        <v>0</v>
      </c>
      <c r="I37" s="66"/>
      <c r="J37" s="66">
        <v>7663400</v>
      </c>
      <c r="K37" s="66">
        <v>2951200</v>
      </c>
      <c r="L37" s="66">
        <v>17615000</v>
      </c>
      <c r="M37" s="66"/>
      <c r="N37" s="66"/>
      <c r="O37" s="66"/>
      <c r="P37" s="66"/>
      <c r="Q37" s="66">
        <f t="shared" si="1"/>
        <v>0</v>
      </c>
      <c r="R37" s="66"/>
      <c r="S37" s="66"/>
      <c r="T37" s="66">
        <f t="shared" si="2"/>
        <v>0</v>
      </c>
      <c r="U37" s="66"/>
      <c r="V37" s="66"/>
      <c r="W37" s="51"/>
      <c r="X37" s="66">
        <f t="shared" si="3"/>
        <v>0</v>
      </c>
      <c r="Y37" s="66"/>
      <c r="Z37" s="66"/>
      <c r="AA37" s="66"/>
      <c r="AB37" s="66"/>
      <c r="AC37" s="66"/>
      <c r="AD37" s="90">
        <f t="shared" si="4"/>
        <v>0</v>
      </c>
      <c r="AE37" s="66"/>
      <c r="AF37" s="66"/>
      <c r="AG37" s="66"/>
      <c r="AH37" s="90">
        <f t="shared" si="5"/>
        <v>0</v>
      </c>
      <c r="AI37" s="66">
        <v>0</v>
      </c>
      <c r="AJ37" s="66"/>
      <c r="AK37" s="66"/>
      <c r="AL37" s="66"/>
      <c r="AM37" s="66"/>
      <c r="AN37" s="66"/>
      <c r="AO37" s="66"/>
      <c r="AP37" s="90">
        <f t="shared" si="6"/>
        <v>0</v>
      </c>
      <c r="AQ37" s="66"/>
      <c r="AR37" s="66"/>
      <c r="AS37" s="66"/>
      <c r="AT37" s="66"/>
      <c r="AU37" s="66"/>
      <c r="AV37" s="66"/>
      <c r="AW37" s="66"/>
      <c r="AX37" s="66"/>
      <c r="AY37" s="51"/>
      <c r="AZ37" s="66"/>
      <c r="BA37" s="66"/>
      <c r="BB37" s="66"/>
      <c r="BC37" s="66"/>
      <c r="BD37" s="66"/>
      <c r="BE37" s="66"/>
      <c r="BF37" s="66"/>
      <c r="BG37" s="66"/>
      <c r="BH37" s="90">
        <f t="shared" si="7"/>
        <v>563579</v>
      </c>
      <c r="BI37" s="90">
        <v>0</v>
      </c>
      <c r="BJ37" s="66">
        <f>80000</f>
        <v>80000</v>
      </c>
      <c r="BK37" s="90">
        <v>400900</v>
      </c>
      <c r="BL37" s="90"/>
      <c r="BM37" s="90">
        <v>82679</v>
      </c>
      <c r="BN37" s="66"/>
      <c r="BO37" s="66"/>
      <c r="BP37" s="66"/>
      <c r="BQ37" s="66">
        <f t="shared" si="8"/>
        <v>0</v>
      </c>
      <c r="BR37" s="66"/>
      <c r="BS37" s="66"/>
      <c r="BT37" s="66"/>
      <c r="BU37" s="66">
        <v>206600</v>
      </c>
      <c r="BV37" s="66"/>
      <c r="BW37" s="66"/>
      <c r="BX37" s="90">
        <f t="shared" si="9"/>
        <v>0</v>
      </c>
      <c r="BY37" s="90">
        <v>0</v>
      </c>
      <c r="BZ37" s="90"/>
      <c r="CA37" s="90"/>
      <c r="CB37" s="90"/>
      <c r="CC37" s="90"/>
      <c r="CD37" s="90"/>
      <c r="CE37" s="49"/>
      <c r="CF37" s="66">
        <f t="shared" si="17"/>
        <v>0</v>
      </c>
      <c r="CG37" s="66"/>
      <c r="CH37" s="66"/>
      <c r="CI37" s="51">
        <f t="shared" si="10"/>
        <v>28999779</v>
      </c>
      <c r="CJ37" s="81"/>
      <c r="CK37" s="367"/>
      <c r="CL37" s="367"/>
      <c r="CM37" s="81"/>
      <c r="CN37" s="367"/>
      <c r="CO37" s="367"/>
      <c r="CP37" s="36"/>
      <c r="CQ37" s="36"/>
      <c r="CR37" s="367"/>
      <c r="CS37" s="36"/>
      <c r="CT37" s="1485"/>
      <c r="CU37" s="1485">
        <f t="shared" si="11"/>
        <v>0</v>
      </c>
      <c r="CV37" s="36"/>
      <c r="CW37" s="36"/>
      <c r="CX37" s="36"/>
      <c r="CY37" s="36"/>
      <c r="CZ37" s="36"/>
    </row>
    <row r="38" spans="1:104">
      <c r="A38" s="452" t="s">
        <v>667</v>
      </c>
      <c r="B38" s="1131" t="s">
        <v>1157</v>
      </c>
      <c r="C38" s="199"/>
      <c r="D38" s="199"/>
      <c r="E38" s="199"/>
      <c r="F38" s="415"/>
      <c r="G38" s="415">
        <f>'дод 1.2'!C1051</f>
        <v>53000</v>
      </c>
      <c r="H38" s="415">
        <f t="shared" si="0"/>
        <v>53000</v>
      </c>
      <c r="I38" s="66">
        <v>8662700</v>
      </c>
      <c r="J38" s="66">
        <v>18388000</v>
      </c>
      <c r="K38" s="66">
        <v>16362100</v>
      </c>
      <c r="L38" s="66">
        <v>102507800</v>
      </c>
      <c r="M38" s="66"/>
      <c r="N38" s="66"/>
      <c r="O38" s="66"/>
      <c r="P38" s="66">
        <v>2860200</v>
      </c>
      <c r="Q38" s="66">
        <f t="shared" si="1"/>
        <v>500000</v>
      </c>
      <c r="R38" s="66">
        <v>500000</v>
      </c>
      <c r="S38" s="66"/>
      <c r="T38" s="66">
        <f t="shared" si="2"/>
        <v>0</v>
      </c>
      <c r="U38" s="66"/>
      <c r="V38" s="66"/>
      <c r="W38" s="51"/>
      <c r="X38" s="66">
        <f t="shared" si="3"/>
        <v>28500</v>
      </c>
      <c r="Y38" s="66">
        <v>28500</v>
      </c>
      <c r="Z38" s="66"/>
      <c r="AA38" s="66">
        <f>182900+18268</f>
        <v>201168</v>
      </c>
      <c r="AB38" s="66"/>
      <c r="AC38" s="66"/>
      <c r="AD38" s="90">
        <f t="shared" si="4"/>
        <v>0</v>
      </c>
      <c r="AE38" s="66"/>
      <c r="AF38" s="66"/>
      <c r="AG38" s="66"/>
      <c r="AH38" s="90">
        <f t="shared" si="5"/>
        <v>423000</v>
      </c>
      <c r="AI38" s="66">
        <v>319300</v>
      </c>
      <c r="AJ38" s="66">
        <v>103700</v>
      </c>
      <c r="AK38" s="66"/>
      <c r="AL38" s="66"/>
      <c r="AM38" s="66"/>
      <c r="AN38" s="66"/>
      <c r="AO38" s="66"/>
      <c r="AP38" s="90">
        <f t="shared" si="6"/>
        <v>885990</v>
      </c>
      <c r="AQ38" s="66">
        <v>220220</v>
      </c>
      <c r="AR38" s="66">
        <v>242270</v>
      </c>
      <c r="AS38" s="66">
        <v>405000</v>
      </c>
      <c r="AT38" s="66">
        <v>18500</v>
      </c>
      <c r="AU38" s="66"/>
      <c r="AV38" s="66">
        <v>3242587</v>
      </c>
      <c r="AW38" s="66">
        <v>3242587</v>
      </c>
      <c r="AX38" s="66"/>
      <c r="AY38" s="51"/>
      <c r="AZ38" s="66"/>
      <c r="BA38" s="66"/>
      <c r="BB38" s="66">
        <v>619962</v>
      </c>
      <c r="BC38" s="66">
        <f>248400+220</f>
        <v>248620</v>
      </c>
      <c r="BD38" s="66">
        <v>220</v>
      </c>
      <c r="BE38" s="66"/>
      <c r="BF38" s="66"/>
      <c r="BG38" s="66"/>
      <c r="BH38" s="90">
        <f t="shared" si="7"/>
        <v>910383</v>
      </c>
      <c r="BI38" s="90">
        <v>96000</v>
      </c>
      <c r="BJ38" s="66">
        <f>100000</f>
        <v>100000</v>
      </c>
      <c r="BK38" s="90">
        <v>268900</v>
      </c>
      <c r="BL38" s="90"/>
      <c r="BM38" s="90">
        <v>445483</v>
      </c>
      <c r="BN38" s="66"/>
      <c r="BO38" s="66"/>
      <c r="BP38" s="66"/>
      <c r="BQ38" s="66">
        <f t="shared" si="8"/>
        <v>0</v>
      </c>
      <c r="BR38" s="66"/>
      <c r="BS38" s="66"/>
      <c r="BT38" s="66"/>
      <c r="BU38" s="66">
        <v>297200</v>
      </c>
      <c r="BV38" s="66"/>
      <c r="BW38" s="66"/>
      <c r="BX38" s="90">
        <f t="shared" si="9"/>
        <v>768112</v>
      </c>
      <c r="BY38" s="90">
        <v>98112</v>
      </c>
      <c r="BZ38" s="90">
        <v>520000</v>
      </c>
      <c r="CA38" s="90"/>
      <c r="CB38" s="90"/>
      <c r="CC38" s="90"/>
      <c r="CD38" s="90"/>
      <c r="CE38" s="49"/>
      <c r="CF38" s="66">
        <f t="shared" si="17"/>
        <v>150000</v>
      </c>
      <c r="CG38" s="66"/>
      <c r="CH38" s="66">
        <v>150000</v>
      </c>
      <c r="CI38" s="51">
        <f t="shared" si="10"/>
        <v>156906322</v>
      </c>
      <c r="CJ38" s="81"/>
      <c r="CK38" s="367"/>
      <c r="CL38" s="367"/>
      <c r="CM38" s="81"/>
      <c r="CN38" s="367"/>
      <c r="CO38" s="367"/>
      <c r="CP38" s="1485"/>
      <c r="CQ38" s="36"/>
      <c r="CR38" s="367"/>
      <c r="CS38" s="36"/>
      <c r="CT38" s="1485"/>
      <c r="CU38" s="1485">
        <f t="shared" si="11"/>
        <v>0</v>
      </c>
      <c r="CV38" s="36"/>
      <c r="CW38" s="36"/>
      <c r="CX38" s="36"/>
      <c r="CY38" s="36"/>
      <c r="CZ38" s="36"/>
    </row>
    <row r="39" spans="1:104">
      <c r="A39" s="452" t="s">
        <v>668</v>
      </c>
      <c r="B39" s="1131" t="s">
        <v>1158</v>
      </c>
      <c r="C39" s="199"/>
      <c r="D39" s="199"/>
      <c r="E39" s="199"/>
      <c r="F39" s="415"/>
      <c r="G39" s="415">
        <f>'дод 1.2'!C1088</f>
        <v>41256</v>
      </c>
      <c r="H39" s="415">
        <f t="shared" si="0"/>
        <v>41256</v>
      </c>
      <c r="I39" s="66">
        <v>4707900</v>
      </c>
      <c r="J39" s="66">
        <v>35083400</v>
      </c>
      <c r="K39" s="66">
        <v>24575800</v>
      </c>
      <c r="L39" s="66">
        <v>105183500</v>
      </c>
      <c r="M39" s="66"/>
      <c r="N39" s="66"/>
      <c r="O39" s="66"/>
      <c r="P39" s="66">
        <v>409600</v>
      </c>
      <c r="Q39" s="66">
        <f t="shared" si="1"/>
        <v>1127500</v>
      </c>
      <c r="R39" s="66">
        <v>1000000</v>
      </c>
      <c r="S39" s="66"/>
      <c r="T39" s="66">
        <f t="shared" si="2"/>
        <v>127500</v>
      </c>
      <c r="U39" s="66">
        <f>12500+45000+6000</f>
        <v>63500</v>
      </c>
      <c r="V39" s="66">
        <f>10000+54000</f>
        <v>64000</v>
      </c>
      <c r="W39" s="51"/>
      <c r="X39" s="66">
        <f t="shared" si="3"/>
        <v>15700</v>
      </c>
      <c r="Y39" s="66">
        <v>15700</v>
      </c>
      <c r="Z39" s="66"/>
      <c r="AA39" s="66"/>
      <c r="AB39" s="66"/>
      <c r="AC39" s="66"/>
      <c r="AD39" s="90">
        <f t="shared" si="4"/>
        <v>1040760</v>
      </c>
      <c r="AE39" s="66">
        <v>1040760</v>
      </c>
      <c r="AF39" s="66"/>
      <c r="AG39" s="66"/>
      <c r="AH39" s="90">
        <f t="shared" si="5"/>
        <v>125600</v>
      </c>
      <c r="AI39" s="66">
        <v>71000</v>
      </c>
      <c r="AJ39" s="66">
        <v>23000</v>
      </c>
      <c r="AK39" s="66"/>
      <c r="AL39" s="66">
        <v>20400</v>
      </c>
      <c r="AM39" s="66">
        <v>11200</v>
      </c>
      <c r="AN39" s="66"/>
      <c r="AO39" s="66"/>
      <c r="AP39" s="90">
        <f t="shared" si="6"/>
        <v>315090</v>
      </c>
      <c r="AQ39" s="66">
        <v>77080</v>
      </c>
      <c r="AR39" s="66">
        <v>109010</v>
      </c>
      <c r="AS39" s="66">
        <v>121500</v>
      </c>
      <c r="AT39" s="66">
        <v>7500</v>
      </c>
      <c r="AU39" s="66"/>
      <c r="AV39" s="66">
        <v>2640630</v>
      </c>
      <c r="AW39" s="66">
        <v>2640630</v>
      </c>
      <c r="AX39" s="66"/>
      <c r="AY39" s="51"/>
      <c r="AZ39" s="66"/>
      <c r="BA39" s="66"/>
      <c r="BB39" s="66"/>
      <c r="BC39" s="66">
        <v>1420</v>
      </c>
      <c r="BD39" s="66">
        <v>1420</v>
      </c>
      <c r="BE39" s="66"/>
      <c r="BF39" s="66"/>
      <c r="BG39" s="66"/>
      <c r="BH39" s="90">
        <f t="shared" si="7"/>
        <v>3522388</v>
      </c>
      <c r="BI39" s="90">
        <v>144529</v>
      </c>
      <c r="BJ39" s="66">
        <v>7000</v>
      </c>
      <c r="BK39" s="90">
        <v>2918400</v>
      </c>
      <c r="BL39" s="90"/>
      <c r="BM39" s="90">
        <v>452459</v>
      </c>
      <c r="BN39" s="66"/>
      <c r="BO39" s="66"/>
      <c r="BP39" s="66"/>
      <c r="BQ39" s="66">
        <f t="shared" si="8"/>
        <v>0</v>
      </c>
      <c r="BR39" s="66"/>
      <c r="BS39" s="66"/>
      <c r="BT39" s="66"/>
      <c r="BU39" s="66">
        <v>400000</v>
      </c>
      <c r="BV39" s="66"/>
      <c r="BW39" s="66"/>
      <c r="BX39" s="90">
        <f t="shared" si="9"/>
        <v>88612</v>
      </c>
      <c r="BY39" s="90">
        <v>53112</v>
      </c>
      <c r="BZ39" s="90">
        <f>17500+18000</f>
        <v>35500</v>
      </c>
      <c r="CA39" s="90"/>
      <c r="CB39" s="90"/>
      <c r="CC39" s="90"/>
      <c r="CD39" s="90"/>
      <c r="CE39" s="49"/>
      <c r="CF39" s="66">
        <f t="shared" si="17"/>
        <v>0</v>
      </c>
      <c r="CG39" s="66"/>
      <c r="CH39" s="66"/>
      <c r="CI39" s="51">
        <f t="shared" si="10"/>
        <v>179237900</v>
      </c>
      <c r="CJ39" s="81"/>
      <c r="CK39" s="367"/>
      <c r="CL39" s="367"/>
      <c r="CM39" s="81"/>
      <c r="CN39" s="367"/>
      <c r="CO39" s="367"/>
      <c r="CP39" s="1485"/>
      <c r="CQ39" s="36"/>
      <c r="CR39" s="367"/>
      <c r="CS39" s="36"/>
      <c r="CT39" s="1485"/>
      <c r="CU39" s="1485">
        <f t="shared" si="11"/>
        <v>0</v>
      </c>
      <c r="CV39" s="36"/>
      <c r="CW39" s="36"/>
      <c r="CX39" s="36"/>
      <c r="CY39" s="36"/>
      <c r="CZ39" s="36"/>
    </row>
    <row r="40" spans="1:104">
      <c r="A40" s="452" t="s">
        <v>669</v>
      </c>
      <c r="B40" s="1131" t="s">
        <v>1159</v>
      </c>
      <c r="C40" s="199"/>
      <c r="D40" s="199"/>
      <c r="E40" s="199"/>
      <c r="F40" s="415"/>
      <c r="G40" s="415">
        <f>'дод 1.2'!C1136</f>
        <v>65000</v>
      </c>
      <c r="H40" s="415">
        <f t="shared" si="0"/>
        <v>65000</v>
      </c>
      <c r="I40" s="66">
        <v>674900</v>
      </c>
      <c r="J40" s="66">
        <v>10820100</v>
      </c>
      <c r="K40" s="66">
        <v>26618200</v>
      </c>
      <c r="L40" s="66">
        <v>135766100</v>
      </c>
      <c r="M40" s="66"/>
      <c r="N40" s="66"/>
      <c r="O40" s="66"/>
      <c r="P40" s="66">
        <v>2019100</v>
      </c>
      <c r="Q40" s="66">
        <f t="shared" si="1"/>
        <v>0</v>
      </c>
      <c r="R40" s="66"/>
      <c r="S40" s="66"/>
      <c r="T40" s="66">
        <f t="shared" si="2"/>
        <v>0</v>
      </c>
      <c r="U40" s="66"/>
      <c r="V40" s="66"/>
      <c r="W40" s="51"/>
      <c r="X40" s="66">
        <f t="shared" si="3"/>
        <v>300</v>
      </c>
      <c r="Y40" s="66">
        <v>300</v>
      </c>
      <c r="Z40" s="66"/>
      <c r="AA40" s="66"/>
      <c r="AB40" s="66"/>
      <c r="AC40" s="66"/>
      <c r="AD40" s="90">
        <f t="shared" si="4"/>
        <v>0</v>
      </c>
      <c r="AE40" s="66"/>
      <c r="AF40" s="66"/>
      <c r="AG40" s="66"/>
      <c r="AH40" s="90">
        <f t="shared" si="5"/>
        <v>94000</v>
      </c>
      <c r="AI40" s="66">
        <v>71000</v>
      </c>
      <c r="AJ40" s="66">
        <v>23000</v>
      </c>
      <c r="AK40" s="66"/>
      <c r="AL40" s="66"/>
      <c r="AM40" s="66"/>
      <c r="AN40" s="66"/>
      <c r="AO40" s="66"/>
      <c r="AP40" s="90">
        <f t="shared" si="6"/>
        <v>69670</v>
      </c>
      <c r="AQ40" s="66">
        <v>16520</v>
      </c>
      <c r="AR40" s="66">
        <v>31000</v>
      </c>
      <c r="AS40" s="66">
        <v>20250</v>
      </c>
      <c r="AT40" s="66">
        <v>1900</v>
      </c>
      <c r="AU40" s="66"/>
      <c r="AV40" s="66"/>
      <c r="AW40" s="66"/>
      <c r="AX40" s="66"/>
      <c r="AY40" s="51"/>
      <c r="AZ40" s="66"/>
      <c r="BA40" s="66"/>
      <c r="BB40" s="66"/>
      <c r="BC40" s="66"/>
      <c r="BD40" s="66"/>
      <c r="BE40" s="66"/>
      <c r="BF40" s="66"/>
      <c r="BG40" s="66"/>
      <c r="BH40" s="90">
        <f t="shared" si="7"/>
        <v>2391940</v>
      </c>
      <c r="BI40" s="90">
        <v>0</v>
      </c>
      <c r="BJ40" s="66"/>
      <c r="BK40" s="90">
        <v>1970100</v>
      </c>
      <c r="BL40" s="90"/>
      <c r="BM40" s="90">
        <v>421840</v>
      </c>
      <c r="BN40" s="66"/>
      <c r="BO40" s="66"/>
      <c r="BP40" s="66"/>
      <c r="BQ40" s="66">
        <f t="shared" si="8"/>
        <v>0</v>
      </c>
      <c r="BR40" s="66"/>
      <c r="BS40" s="66"/>
      <c r="BT40" s="66"/>
      <c r="BU40" s="66">
        <v>233900</v>
      </c>
      <c r="BV40" s="66"/>
      <c r="BW40" s="66"/>
      <c r="BX40" s="90">
        <f t="shared" si="9"/>
        <v>0</v>
      </c>
      <c r="BY40" s="90">
        <v>0</v>
      </c>
      <c r="BZ40" s="90"/>
      <c r="CA40" s="90"/>
      <c r="CB40" s="90"/>
      <c r="CC40" s="90"/>
      <c r="CD40" s="90"/>
      <c r="CE40" s="49"/>
      <c r="CF40" s="66">
        <f t="shared" si="17"/>
        <v>0</v>
      </c>
      <c r="CG40" s="66"/>
      <c r="CH40" s="66"/>
      <c r="CI40" s="51">
        <f t="shared" si="10"/>
        <v>178688210</v>
      </c>
      <c r="CJ40" s="81"/>
      <c r="CK40" s="367"/>
      <c r="CL40" s="367"/>
      <c r="CM40" s="81"/>
      <c r="CN40" s="367"/>
      <c r="CO40" s="367"/>
      <c r="CP40" s="1485"/>
      <c r="CQ40" s="36"/>
      <c r="CR40" s="367"/>
      <c r="CS40" s="36"/>
      <c r="CT40" s="1485"/>
      <c r="CU40" s="1485">
        <f t="shared" si="11"/>
        <v>0</v>
      </c>
      <c r="CV40" s="36"/>
      <c r="CW40" s="36"/>
      <c r="CX40" s="36"/>
      <c r="CY40" s="36"/>
      <c r="CZ40" s="36"/>
    </row>
    <row r="41" spans="1:104">
      <c r="A41" s="453" t="s">
        <v>670</v>
      </c>
      <c r="B41" s="1133" t="s">
        <v>1160</v>
      </c>
      <c r="C41" s="199"/>
      <c r="D41" s="199"/>
      <c r="E41" s="199"/>
      <c r="F41" s="415"/>
      <c r="G41" s="415"/>
      <c r="H41" s="415">
        <f t="shared" si="0"/>
        <v>0</v>
      </c>
      <c r="I41" s="66">
        <v>872000</v>
      </c>
      <c r="J41" s="66">
        <v>27735600</v>
      </c>
      <c r="K41" s="66">
        <v>1858300</v>
      </c>
      <c r="L41" s="66">
        <v>47059700</v>
      </c>
      <c r="M41" s="66"/>
      <c r="N41" s="66"/>
      <c r="O41" s="66"/>
      <c r="P41" s="66">
        <v>697500</v>
      </c>
      <c r="Q41" s="66">
        <f t="shared" si="1"/>
        <v>150000</v>
      </c>
      <c r="R41" s="66">
        <v>150000</v>
      </c>
      <c r="S41" s="66"/>
      <c r="T41" s="66">
        <f t="shared" si="2"/>
        <v>0</v>
      </c>
      <c r="U41" s="66"/>
      <c r="V41" s="66"/>
      <c r="W41" s="51">
        <v>119400</v>
      </c>
      <c r="X41" s="66">
        <f t="shared" si="3"/>
        <v>583200</v>
      </c>
      <c r="Y41" s="66">
        <v>3500</v>
      </c>
      <c r="Z41" s="66">
        <v>579700</v>
      </c>
      <c r="AA41" s="66"/>
      <c r="AB41" s="66"/>
      <c r="AC41" s="66"/>
      <c r="AD41" s="90">
        <f t="shared" si="4"/>
        <v>0</v>
      </c>
      <c r="AE41" s="66"/>
      <c r="AF41" s="66"/>
      <c r="AG41" s="66"/>
      <c r="AH41" s="90">
        <f t="shared" si="5"/>
        <v>0</v>
      </c>
      <c r="AI41" s="66">
        <v>0</v>
      </c>
      <c r="AJ41" s="66"/>
      <c r="AK41" s="66"/>
      <c r="AL41" s="66"/>
      <c r="AM41" s="66"/>
      <c r="AN41" s="66"/>
      <c r="AO41" s="66"/>
      <c r="AP41" s="90">
        <f t="shared" si="6"/>
        <v>115030</v>
      </c>
      <c r="AQ41" s="66">
        <v>27530</v>
      </c>
      <c r="AR41" s="66">
        <v>23750</v>
      </c>
      <c r="AS41" s="66">
        <v>60750</v>
      </c>
      <c r="AT41" s="66">
        <v>3000</v>
      </c>
      <c r="AU41" s="66"/>
      <c r="AV41" s="66"/>
      <c r="AW41" s="66"/>
      <c r="AX41" s="66"/>
      <c r="AY41" s="51"/>
      <c r="AZ41" s="66"/>
      <c r="BA41" s="66"/>
      <c r="BB41" s="66"/>
      <c r="BC41" s="66"/>
      <c r="BD41" s="66"/>
      <c r="BE41" s="66"/>
      <c r="BF41" s="66"/>
      <c r="BG41" s="66"/>
      <c r="BH41" s="90">
        <f t="shared" si="7"/>
        <v>437873</v>
      </c>
      <c r="BI41" s="90">
        <f>70000+15000</f>
        <v>85000</v>
      </c>
      <c r="BJ41" s="66"/>
      <c r="BK41" s="90">
        <v>82000</v>
      </c>
      <c r="BL41" s="90"/>
      <c r="BM41" s="90">
        <v>270873</v>
      </c>
      <c r="BN41" s="66"/>
      <c r="BO41" s="66"/>
      <c r="BP41" s="66"/>
      <c r="BQ41" s="66">
        <f t="shared" si="8"/>
        <v>0</v>
      </c>
      <c r="BR41" s="66"/>
      <c r="BS41" s="66"/>
      <c r="BT41" s="66"/>
      <c r="BU41" s="66">
        <v>194900</v>
      </c>
      <c r="BV41" s="66"/>
      <c r="BW41" s="66"/>
      <c r="BX41" s="90">
        <f t="shared" si="9"/>
        <v>52600</v>
      </c>
      <c r="BY41" s="90">
        <f>20600</f>
        <v>20600</v>
      </c>
      <c r="BZ41" s="90">
        <v>32000</v>
      </c>
      <c r="CA41" s="90"/>
      <c r="CB41" s="90"/>
      <c r="CC41" s="90"/>
      <c r="CD41" s="90"/>
      <c r="CE41" s="49"/>
      <c r="CF41" s="66">
        <f t="shared" si="17"/>
        <v>0</v>
      </c>
      <c r="CG41" s="66"/>
      <c r="CH41" s="66"/>
      <c r="CI41" s="51">
        <f t="shared" si="10"/>
        <v>79876103</v>
      </c>
      <c r="CJ41" s="81"/>
      <c r="CK41" s="367"/>
      <c r="CL41" s="367"/>
      <c r="CM41" s="81"/>
      <c r="CN41" s="367"/>
      <c r="CO41" s="367"/>
      <c r="CP41" s="1485"/>
      <c r="CQ41" s="36"/>
      <c r="CR41" s="367"/>
      <c r="CS41" s="36"/>
      <c r="CT41" s="1485"/>
      <c r="CU41" s="1485">
        <f t="shared" si="11"/>
        <v>0</v>
      </c>
      <c r="CV41" s="36"/>
      <c r="CW41" s="36"/>
      <c r="CX41" s="36"/>
      <c r="CY41" s="36"/>
      <c r="CZ41" s="36"/>
    </row>
    <row r="42" spans="1:104">
      <c r="A42" s="452" t="s">
        <v>671</v>
      </c>
      <c r="B42" s="1131" t="s">
        <v>1161</v>
      </c>
      <c r="C42" s="199"/>
      <c r="D42" s="199"/>
      <c r="E42" s="199"/>
      <c r="F42" s="415"/>
      <c r="G42" s="415"/>
      <c r="H42" s="415">
        <f t="shared" si="0"/>
        <v>0</v>
      </c>
      <c r="I42" s="66">
        <v>1971600</v>
      </c>
      <c r="J42" s="66">
        <v>20064600</v>
      </c>
      <c r="K42" s="66">
        <v>11470500</v>
      </c>
      <c r="L42" s="66">
        <v>61609500</v>
      </c>
      <c r="M42" s="66"/>
      <c r="N42" s="66"/>
      <c r="O42" s="66"/>
      <c r="P42" s="66">
        <v>1255300</v>
      </c>
      <c r="Q42" s="66">
        <f t="shared" si="1"/>
        <v>0</v>
      </c>
      <c r="R42" s="66"/>
      <c r="S42" s="66"/>
      <c r="T42" s="66">
        <f t="shared" si="2"/>
        <v>0</v>
      </c>
      <c r="U42" s="66"/>
      <c r="V42" s="66"/>
      <c r="W42" s="51"/>
      <c r="X42" s="66">
        <f t="shared" si="3"/>
        <v>15700</v>
      </c>
      <c r="Y42" s="66">
        <v>15700</v>
      </c>
      <c r="Z42" s="66"/>
      <c r="AA42" s="66"/>
      <c r="AB42" s="66"/>
      <c r="AC42" s="66"/>
      <c r="AD42" s="90">
        <f t="shared" si="4"/>
        <v>0</v>
      </c>
      <c r="AE42" s="66"/>
      <c r="AF42" s="66"/>
      <c r="AG42" s="66"/>
      <c r="AH42" s="90">
        <f t="shared" si="5"/>
        <v>0</v>
      </c>
      <c r="AI42" s="66">
        <v>0</v>
      </c>
      <c r="AJ42" s="66"/>
      <c r="AK42" s="66"/>
      <c r="AL42" s="66"/>
      <c r="AM42" s="66"/>
      <c r="AN42" s="66"/>
      <c r="AO42" s="66"/>
      <c r="AP42" s="90">
        <f t="shared" si="6"/>
        <v>186950</v>
      </c>
      <c r="AQ42" s="66">
        <v>46800</v>
      </c>
      <c r="AR42" s="66">
        <v>55250</v>
      </c>
      <c r="AS42" s="66">
        <v>81000</v>
      </c>
      <c r="AT42" s="66">
        <v>3900</v>
      </c>
      <c r="AU42" s="66"/>
      <c r="AV42" s="66">
        <v>23880</v>
      </c>
      <c r="AW42" s="66">
        <v>23880</v>
      </c>
      <c r="AX42" s="66"/>
      <c r="AY42" s="51"/>
      <c r="AZ42" s="66"/>
      <c r="BA42" s="66"/>
      <c r="BB42" s="66"/>
      <c r="BC42" s="66"/>
      <c r="BD42" s="66"/>
      <c r="BE42" s="66"/>
      <c r="BF42" s="66"/>
      <c r="BG42" s="66"/>
      <c r="BH42" s="90">
        <f t="shared" si="7"/>
        <v>400843</v>
      </c>
      <c r="BI42" s="90">
        <v>0</v>
      </c>
      <c r="BJ42" s="66"/>
      <c r="BK42" s="90">
        <v>91200</v>
      </c>
      <c r="BL42" s="90"/>
      <c r="BM42" s="90">
        <v>309643</v>
      </c>
      <c r="BN42" s="66"/>
      <c r="BO42" s="66"/>
      <c r="BP42" s="66"/>
      <c r="BQ42" s="66">
        <f t="shared" si="8"/>
        <v>0</v>
      </c>
      <c r="BR42" s="66"/>
      <c r="BS42" s="66"/>
      <c r="BT42" s="66"/>
      <c r="BU42" s="66">
        <v>269100</v>
      </c>
      <c r="BV42" s="66"/>
      <c r="BW42" s="66"/>
      <c r="BX42" s="90">
        <f t="shared" si="9"/>
        <v>0</v>
      </c>
      <c r="BY42" s="90">
        <v>0</v>
      </c>
      <c r="BZ42" s="90"/>
      <c r="CA42" s="90"/>
      <c r="CB42" s="90"/>
      <c r="CC42" s="90"/>
      <c r="CD42" s="90"/>
      <c r="CE42" s="49"/>
      <c r="CF42" s="66">
        <f t="shared" si="17"/>
        <v>0</v>
      </c>
      <c r="CG42" s="66"/>
      <c r="CH42" s="66">
        <f>200000-200000</f>
        <v>0</v>
      </c>
      <c r="CI42" s="51">
        <f t="shared" si="10"/>
        <v>97267973</v>
      </c>
      <c r="CJ42" s="81"/>
      <c r="CK42" s="367"/>
      <c r="CL42" s="367"/>
      <c r="CM42" s="81"/>
      <c r="CN42" s="367"/>
      <c r="CO42" s="367"/>
      <c r="CP42" s="1485"/>
      <c r="CQ42" s="36"/>
      <c r="CR42" s="367"/>
      <c r="CS42" s="36"/>
      <c r="CT42" s="1485"/>
      <c r="CU42" s="1485">
        <f t="shared" si="11"/>
        <v>0</v>
      </c>
      <c r="CV42" s="36"/>
      <c r="CW42" s="36"/>
      <c r="CX42" s="36"/>
      <c r="CY42" s="36"/>
      <c r="CZ42" s="36"/>
    </row>
    <row r="43" spans="1:104">
      <c r="A43" s="452" t="s">
        <v>672</v>
      </c>
      <c r="B43" s="1131" t="s">
        <v>1162</v>
      </c>
      <c r="C43" s="199"/>
      <c r="D43" s="199"/>
      <c r="E43" s="199"/>
      <c r="F43" s="415"/>
      <c r="G43" s="415">
        <f>'дод 1.2'!C1292</f>
        <v>1305000</v>
      </c>
      <c r="H43" s="415">
        <f t="shared" si="0"/>
        <v>1305000</v>
      </c>
      <c r="I43" s="66">
        <v>6927500</v>
      </c>
      <c r="J43" s="66">
        <v>25412100</v>
      </c>
      <c r="K43" s="66">
        <v>2022700</v>
      </c>
      <c r="L43" s="66">
        <v>40569600</v>
      </c>
      <c r="M43" s="66"/>
      <c r="N43" s="66"/>
      <c r="O43" s="66"/>
      <c r="P43" s="66">
        <v>2239500</v>
      </c>
      <c r="Q43" s="66">
        <f t="shared" si="1"/>
        <v>192860</v>
      </c>
      <c r="R43" s="66"/>
      <c r="S43" s="66">
        <v>132860</v>
      </c>
      <c r="T43" s="66">
        <f t="shared" si="2"/>
        <v>60000</v>
      </c>
      <c r="U43" s="66">
        <v>60000</v>
      </c>
      <c r="V43" s="66"/>
      <c r="W43" s="51">
        <v>133200</v>
      </c>
      <c r="X43" s="66">
        <f t="shared" si="3"/>
        <v>711800</v>
      </c>
      <c r="Y43" s="66">
        <v>93800</v>
      </c>
      <c r="Z43" s="66">
        <v>618000</v>
      </c>
      <c r="AA43" s="66">
        <v>219500</v>
      </c>
      <c r="AB43" s="66"/>
      <c r="AC43" s="66"/>
      <c r="AD43" s="90">
        <f t="shared" si="4"/>
        <v>904960</v>
      </c>
      <c r="AE43" s="66">
        <f>1040760-135800</f>
        <v>904960</v>
      </c>
      <c r="AF43" s="66"/>
      <c r="AG43" s="66"/>
      <c r="AH43" s="90">
        <f t="shared" si="5"/>
        <v>478100</v>
      </c>
      <c r="AI43" s="66">
        <v>337100</v>
      </c>
      <c r="AJ43" s="66">
        <v>109400</v>
      </c>
      <c r="AK43" s="66"/>
      <c r="AL43" s="66">
        <v>20400</v>
      </c>
      <c r="AM43" s="66">
        <v>11200</v>
      </c>
      <c r="AN43" s="66"/>
      <c r="AO43" s="66"/>
      <c r="AP43" s="90">
        <f t="shared" si="6"/>
        <v>783990</v>
      </c>
      <c r="AQ43" s="66">
        <v>181680</v>
      </c>
      <c r="AR43" s="66">
        <v>198760</v>
      </c>
      <c r="AS43" s="66">
        <v>384750</v>
      </c>
      <c r="AT43" s="66">
        <v>18800</v>
      </c>
      <c r="AU43" s="66"/>
      <c r="AV43" s="66">
        <v>35999</v>
      </c>
      <c r="AW43" s="66">
        <v>35999</v>
      </c>
      <c r="AX43" s="66"/>
      <c r="AY43" s="51"/>
      <c r="AZ43" s="66"/>
      <c r="BA43" s="66"/>
      <c r="BB43" s="66"/>
      <c r="BC43" s="66"/>
      <c r="BD43" s="66"/>
      <c r="BE43" s="66"/>
      <c r="BF43" s="66"/>
      <c r="BG43" s="66"/>
      <c r="BH43" s="90">
        <f t="shared" si="7"/>
        <v>854483</v>
      </c>
      <c r="BI43" s="90">
        <f>290724+25000</f>
        <v>315724</v>
      </c>
      <c r="BJ43" s="66">
        <f>308165</f>
        <v>308165</v>
      </c>
      <c r="BK43" s="90">
        <v>27200</v>
      </c>
      <c r="BL43" s="90"/>
      <c r="BM43" s="90">
        <v>203394</v>
      </c>
      <c r="BN43" s="66"/>
      <c r="BO43" s="66"/>
      <c r="BP43" s="66"/>
      <c r="BQ43" s="66">
        <f t="shared" si="8"/>
        <v>0</v>
      </c>
      <c r="BR43" s="66"/>
      <c r="BS43" s="66"/>
      <c r="BT43" s="66"/>
      <c r="BU43" s="66">
        <v>188500</v>
      </c>
      <c r="BV43" s="66"/>
      <c r="BW43" s="66"/>
      <c r="BX43" s="90">
        <f t="shared" si="9"/>
        <v>285335</v>
      </c>
      <c r="BY43" s="90">
        <v>53500</v>
      </c>
      <c r="BZ43" s="90">
        <v>31835</v>
      </c>
      <c r="CA43" s="90"/>
      <c r="CB43" s="90"/>
      <c r="CC43" s="90"/>
      <c r="CD43" s="90"/>
      <c r="CE43" s="49"/>
      <c r="CF43" s="66">
        <f t="shared" si="17"/>
        <v>200000</v>
      </c>
      <c r="CG43" s="66"/>
      <c r="CH43" s="66">
        <v>200000</v>
      </c>
      <c r="CI43" s="51">
        <f t="shared" si="10"/>
        <v>81960127</v>
      </c>
      <c r="CJ43" s="81"/>
      <c r="CK43" s="367"/>
      <c r="CL43" s="367"/>
      <c r="CM43" s="81"/>
      <c r="CN43" s="367"/>
      <c r="CO43" s="367"/>
      <c r="CP43" s="36"/>
      <c r="CQ43" s="36"/>
      <c r="CR43" s="367"/>
      <c r="CS43" s="36"/>
      <c r="CT43" s="1485"/>
      <c r="CU43" s="1485">
        <f t="shared" si="11"/>
        <v>0</v>
      </c>
      <c r="CV43" s="36"/>
      <c r="CW43" s="36"/>
      <c r="CX43" s="36"/>
      <c r="CY43" s="36"/>
      <c r="CZ43" s="36"/>
    </row>
    <row r="44" spans="1:104">
      <c r="A44" s="452" t="s">
        <v>673</v>
      </c>
      <c r="B44" s="1131" t="s">
        <v>1163</v>
      </c>
      <c r="C44" s="199"/>
      <c r="D44" s="199"/>
      <c r="E44" s="199"/>
      <c r="F44" s="415"/>
      <c r="G44" s="415"/>
      <c r="H44" s="415">
        <f t="shared" si="0"/>
        <v>0</v>
      </c>
      <c r="I44" s="66">
        <v>76500</v>
      </c>
      <c r="J44" s="66">
        <v>6713000</v>
      </c>
      <c r="K44" s="66">
        <v>10220800</v>
      </c>
      <c r="L44" s="66">
        <v>54272200</v>
      </c>
      <c r="M44" s="66"/>
      <c r="N44" s="66"/>
      <c r="O44" s="66"/>
      <c r="P44" s="66">
        <v>3428300</v>
      </c>
      <c r="Q44" s="66">
        <f t="shared" si="1"/>
        <v>0</v>
      </c>
      <c r="R44" s="66"/>
      <c r="S44" s="66"/>
      <c r="T44" s="66">
        <f t="shared" si="2"/>
        <v>0</v>
      </c>
      <c r="U44" s="66"/>
      <c r="V44" s="66"/>
      <c r="W44" s="51">
        <v>58480</v>
      </c>
      <c r="X44" s="66">
        <f t="shared" si="3"/>
        <v>272500</v>
      </c>
      <c r="Y44" s="66"/>
      <c r="Z44" s="66">
        <v>272500</v>
      </c>
      <c r="AA44" s="66">
        <f>156500-41600</f>
        <v>114900</v>
      </c>
      <c r="AB44" s="66"/>
      <c r="AC44" s="66"/>
      <c r="AD44" s="90">
        <f t="shared" si="4"/>
        <v>0</v>
      </c>
      <c r="AE44" s="66"/>
      <c r="AF44" s="66"/>
      <c r="AG44" s="66"/>
      <c r="AH44" s="90">
        <f t="shared" si="5"/>
        <v>0</v>
      </c>
      <c r="AI44" s="66">
        <v>0</v>
      </c>
      <c r="AJ44" s="66"/>
      <c r="AK44" s="66"/>
      <c r="AL44" s="66"/>
      <c r="AM44" s="66"/>
      <c r="AN44" s="66"/>
      <c r="AO44" s="66"/>
      <c r="AP44" s="90">
        <f t="shared" si="6"/>
        <v>0</v>
      </c>
      <c r="AQ44" s="66"/>
      <c r="AR44" s="66"/>
      <c r="AS44" s="66"/>
      <c r="AT44" s="66"/>
      <c r="AU44" s="66"/>
      <c r="AV44" s="66"/>
      <c r="AW44" s="66"/>
      <c r="AX44" s="66"/>
      <c r="AY44" s="51"/>
      <c r="AZ44" s="66"/>
      <c r="BA44" s="66"/>
      <c r="BB44" s="66"/>
      <c r="BC44" s="66"/>
      <c r="BD44" s="66"/>
      <c r="BE44" s="66"/>
      <c r="BF44" s="66"/>
      <c r="BG44" s="66"/>
      <c r="BH44" s="90">
        <f t="shared" si="7"/>
        <v>299564</v>
      </c>
      <c r="BI44" s="90">
        <v>62000</v>
      </c>
      <c r="BJ44" s="66"/>
      <c r="BK44" s="90">
        <v>10600</v>
      </c>
      <c r="BL44" s="90"/>
      <c r="BM44" s="90">
        <v>226964</v>
      </c>
      <c r="BN44" s="66"/>
      <c r="BO44" s="66"/>
      <c r="BP44" s="66"/>
      <c r="BQ44" s="66">
        <f t="shared" si="8"/>
        <v>0</v>
      </c>
      <c r="BR44" s="66"/>
      <c r="BS44" s="66"/>
      <c r="BT44" s="66"/>
      <c r="BU44" s="66">
        <v>193200</v>
      </c>
      <c r="BV44" s="66"/>
      <c r="BW44" s="66"/>
      <c r="BX44" s="90">
        <f t="shared" si="9"/>
        <v>50000</v>
      </c>
      <c r="BY44" s="90">
        <v>0</v>
      </c>
      <c r="BZ44" s="90">
        <v>50000</v>
      </c>
      <c r="CA44" s="90"/>
      <c r="CB44" s="90"/>
      <c r="CC44" s="90"/>
      <c r="CD44" s="90"/>
      <c r="CE44" s="49"/>
      <c r="CF44" s="66">
        <f t="shared" si="17"/>
        <v>0</v>
      </c>
      <c r="CG44" s="66"/>
      <c r="CH44" s="66"/>
      <c r="CI44" s="51">
        <f t="shared" si="10"/>
        <v>75699444</v>
      </c>
      <c r="CJ44" s="81"/>
      <c r="CK44" s="367"/>
      <c r="CL44" s="367"/>
      <c r="CM44" s="81"/>
      <c r="CN44" s="367"/>
      <c r="CO44" s="367"/>
      <c r="CP44" s="1485"/>
      <c r="CQ44" s="36"/>
      <c r="CR44" s="367"/>
      <c r="CS44" s="36"/>
      <c r="CT44" s="1485"/>
      <c r="CU44" s="1485">
        <f t="shared" si="11"/>
        <v>0</v>
      </c>
      <c r="CV44" s="36"/>
      <c r="CW44" s="36"/>
      <c r="CX44" s="36"/>
      <c r="CY44" s="36"/>
      <c r="CZ44" s="36"/>
    </row>
    <row r="45" spans="1:104">
      <c r="A45" s="452" t="s">
        <v>674</v>
      </c>
      <c r="B45" s="1131" t="s">
        <v>1164</v>
      </c>
      <c r="C45" s="199"/>
      <c r="D45" s="199">
        <f>'дод 1.2'!D1342</f>
        <v>0</v>
      </c>
      <c r="E45" s="199"/>
      <c r="F45" s="415">
        <f>'дод1.1'!E87</f>
        <v>70000</v>
      </c>
      <c r="G45" s="415">
        <f>'дод 1.2'!E1342</f>
        <v>60000</v>
      </c>
      <c r="H45" s="415">
        <f t="shared" si="0"/>
        <v>130000</v>
      </c>
      <c r="I45" s="66">
        <v>6940900</v>
      </c>
      <c r="J45" s="66">
        <v>10588400</v>
      </c>
      <c r="K45" s="66">
        <v>12977700</v>
      </c>
      <c r="L45" s="66">
        <v>65730000</v>
      </c>
      <c r="M45" s="66"/>
      <c r="N45" s="66"/>
      <c r="O45" s="66"/>
      <c r="P45" s="66">
        <v>882600</v>
      </c>
      <c r="Q45" s="66">
        <f t="shared" si="1"/>
        <v>1730660</v>
      </c>
      <c r="R45" s="66">
        <v>1100000</v>
      </c>
      <c r="S45" s="66">
        <v>132860</v>
      </c>
      <c r="T45" s="66">
        <f t="shared" si="2"/>
        <v>497800</v>
      </c>
      <c r="U45" s="66">
        <f>247800-10000</f>
        <v>237800</v>
      </c>
      <c r="V45" s="66">
        <f>250000+10000</f>
        <v>260000</v>
      </c>
      <c r="W45" s="51">
        <v>103140</v>
      </c>
      <c r="X45" s="66">
        <f t="shared" si="3"/>
        <v>513400</v>
      </c>
      <c r="Y45" s="66">
        <v>25900</v>
      </c>
      <c r="Z45" s="66">
        <v>487500</v>
      </c>
      <c r="AA45" s="66">
        <f>125800+8145</f>
        <v>133945</v>
      </c>
      <c r="AB45" s="66"/>
      <c r="AC45" s="66"/>
      <c r="AD45" s="90">
        <f t="shared" si="4"/>
        <v>1040760</v>
      </c>
      <c r="AE45" s="66">
        <v>1040760</v>
      </c>
      <c r="AF45" s="66"/>
      <c r="AG45" s="66"/>
      <c r="AH45" s="90">
        <f t="shared" si="5"/>
        <v>329000</v>
      </c>
      <c r="AI45" s="66">
        <v>248400</v>
      </c>
      <c r="AJ45" s="66">
        <v>80600</v>
      </c>
      <c r="AK45" s="66"/>
      <c r="AL45" s="66"/>
      <c r="AM45" s="66"/>
      <c r="AN45" s="66"/>
      <c r="AO45" s="66"/>
      <c r="AP45" s="90">
        <f t="shared" si="6"/>
        <v>668870</v>
      </c>
      <c r="AQ45" s="66">
        <v>148650</v>
      </c>
      <c r="AR45" s="66">
        <v>241770</v>
      </c>
      <c r="AS45" s="66">
        <v>263250</v>
      </c>
      <c r="AT45" s="66">
        <v>15200</v>
      </c>
      <c r="AU45" s="66"/>
      <c r="AV45" s="66">
        <v>42500</v>
      </c>
      <c r="AW45" s="66">
        <v>42500</v>
      </c>
      <c r="AX45" s="66"/>
      <c r="AY45" s="51"/>
      <c r="AZ45" s="66"/>
      <c r="BA45" s="66"/>
      <c r="BB45" s="66"/>
      <c r="BC45" s="66"/>
      <c r="BD45" s="66"/>
      <c r="BE45" s="66"/>
      <c r="BF45" s="66"/>
      <c r="BG45" s="66"/>
      <c r="BH45" s="90">
        <f t="shared" si="7"/>
        <v>795602</v>
      </c>
      <c r="BI45" s="90">
        <v>340274</v>
      </c>
      <c r="BJ45" s="66">
        <f>162130</f>
        <v>162130</v>
      </c>
      <c r="BK45" s="90">
        <v>18800</v>
      </c>
      <c r="BL45" s="90"/>
      <c r="BM45" s="90">
        <v>274398</v>
      </c>
      <c r="BN45" s="66"/>
      <c r="BO45" s="66"/>
      <c r="BP45" s="66"/>
      <c r="BQ45" s="66">
        <f t="shared" si="8"/>
        <v>0</v>
      </c>
      <c r="BR45" s="66"/>
      <c r="BS45" s="66"/>
      <c r="BT45" s="66"/>
      <c r="BU45" s="66">
        <v>208100</v>
      </c>
      <c r="BV45" s="66"/>
      <c r="BW45" s="66"/>
      <c r="BX45" s="90">
        <f t="shared" si="9"/>
        <v>188440</v>
      </c>
      <c r="BY45" s="90">
        <v>118370</v>
      </c>
      <c r="BZ45" s="90">
        <v>40070</v>
      </c>
      <c r="CA45" s="90"/>
      <c r="CB45" s="90"/>
      <c r="CC45" s="90"/>
      <c r="CD45" s="90"/>
      <c r="CE45" s="49"/>
      <c r="CF45" s="66">
        <f t="shared" si="17"/>
        <v>30000</v>
      </c>
      <c r="CG45" s="66"/>
      <c r="CH45" s="66">
        <v>30000</v>
      </c>
      <c r="CI45" s="51">
        <f t="shared" si="10"/>
        <v>102874017</v>
      </c>
      <c r="CJ45" s="81"/>
      <c r="CK45" s="367"/>
      <c r="CL45" s="367"/>
      <c r="CM45" s="81"/>
      <c r="CN45" s="367"/>
      <c r="CO45" s="367"/>
      <c r="CP45" s="1485"/>
      <c r="CQ45" s="36"/>
      <c r="CR45" s="367"/>
      <c r="CS45" s="36"/>
      <c r="CT45" s="1485"/>
      <c r="CU45" s="1485">
        <f t="shared" si="11"/>
        <v>0</v>
      </c>
      <c r="CV45" s="36"/>
      <c r="CW45" s="36"/>
      <c r="CX45" s="36"/>
      <c r="CY45" s="36"/>
      <c r="CZ45" s="36"/>
    </row>
    <row r="46" spans="1:104">
      <c r="A46" s="452" t="s">
        <v>675</v>
      </c>
      <c r="B46" s="1131" t="s">
        <v>1165</v>
      </c>
      <c r="C46" s="199"/>
      <c r="D46" s="932">
        <f>'дод 1.2'!D1413</f>
        <v>250000</v>
      </c>
      <c r="E46" s="199"/>
      <c r="F46" s="415"/>
      <c r="G46" s="415">
        <f>'дод 1.2'!E1413</f>
        <v>31027</v>
      </c>
      <c r="H46" s="415">
        <f t="shared" si="0"/>
        <v>281027</v>
      </c>
      <c r="I46" s="66">
        <v>3816800</v>
      </c>
      <c r="J46" s="66">
        <v>24709100</v>
      </c>
      <c r="K46" s="66">
        <v>4429100</v>
      </c>
      <c r="L46" s="66">
        <v>53319000</v>
      </c>
      <c r="M46" s="66"/>
      <c r="N46" s="66"/>
      <c r="O46" s="66"/>
      <c r="P46" s="66">
        <v>876500</v>
      </c>
      <c r="Q46" s="66">
        <f t="shared" si="1"/>
        <v>750000</v>
      </c>
      <c r="R46" s="66">
        <v>750000</v>
      </c>
      <c r="S46" s="66"/>
      <c r="T46" s="66">
        <f t="shared" si="2"/>
        <v>0</v>
      </c>
      <c r="U46" s="66"/>
      <c r="V46" s="66"/>
      <c r="W46" s="51">
        <v>155940</v>
      </c>
      <c r="X46" s="66">
        <f t="shared" si="3"/>
        <v>789600</v>
      </c>
      <c r="Y46" s="66">
        <v>60300</v>
      </c>
      <c r="Z46" s="66">
        <v>729300</v>
      </c>
      <c r="AA46" s="66">
        <v>290600</v>
      </c>
      <c r="AB46" s="66"/>
      <c r="AC46" s="66"/>
      <c r="AD46" s="90">
        <f t="shared" si="4"/>
        <v>994960</v>
      </c>
      <c r="AE46" s="66">
        <f>1040760-45800</f>
        <v>994960</v>
      </c>
      <c r="AF46" s="66"/>
      <c r="AG46" s="66"/>
      <c r="AH46" s="90">
        <f t="shared" si="5"/>
        <v>47000</v>
      </c>
      <c r="AI46" s="66">
        <v>35500</v>
      </c>
      <c r="AJ46" s="66">
        <v>11500</v>
      </c>
      <c r="AK46" s="66"/>
      <c r="AL46" s="66"/>
      <c r="AM46" s="66"/>
      <c r="AN46" s="66"/>
      <c r="AO46" s="66"/>
      <c r="AP46" s="90">
        <f t="shared" si="6"/>
        <v>276630</v>
      </c>
      <c r="AQ46" s="66">
        <v>66070</v>
      </c>
      <c r="AR46" s="66">
        <v>83260</v>
      </c>
      <c r="AS46" s="66">
        <v>121500</v>
      </c>
      <c r="AT46" s="66">
        <v>5800</v>
      </c>
      <c r="AU46" s="66"/>
      <c r="AV46" s="66">
        <v>605055</v>
      </c>
      <c r="AW46" s="66">
        <v>605055</v>
      </c>
      <c r="AX46" s="66"/>
      <c r="AY46" s="51"/>
      <c r="AZ46" s="66"/>
      <c r="BA46" s="66"/>
      <c r="BB46" s="66"/>
      <c r="BC46" s="66"/>
      <c r="BD46" s="66"/>
      <c r="BE46" s="66"/>
      <c r="BF46" s="66"/>
      <c r="BG46" s="66"/>
      <c r="BH46" s="90">
        <f t="shared" si="7"/>
        <v>459915</v>
      </c>
      <c r="BI46" s="90">
        <v>98000</v>
      </c>
      <c r="BJ46" s="66">
        <f>51500</f>
        <v>51500</v>
      </c>
      <c r="BK46" s="90">
        <v>27500</v>
      </c>
      <c r="BL46" s="90"/>
      <c r="BM46" s="90">
        <v>282915</v>
      </c>
      <c r="BN46" s="66"/>
      <c r="BO46" s="66"/>
      <c r="BP46" s="66"/>
      <c r="BQ46" s="66">
        <f t="shared" si="8"/>
        <v>0</v>
      </c>
      <c r="BR46" s="66"/>
      <c r="BS46" s="66"/>
      <c r="BT46" s="66"/>
      <c r="BU46" s="66">
        <v>180800</v>
      </c>
      <c r="BV46" s="66"/>
      <c r="BW46" s="66"/>
      <c r="BX46" s="90">
        <f t="shared" si="9"/>
        <v>0</v>
      </c>
      <c r="BY46" s="90">
        <v>0</v>
      </c>
      <c r="BZ46" s="90"/>
      <c r="CA46" s="90"/>
      <c r="CB46" s="90"/>
      <c r="CC46" s="90"/>
      <c r="CD46" s="90"/>
      <c r="CE46" s="49"/>
      <c r="CF46" s="66">
        <f t="shared" si="17"/>
        <v>0</v>
      </c>
      <c r="CG46" s="66"/>
      <c r="CH46" s="66"/>
      <c r="CI46" s="51">
        <f t="shared" si="10"/>
        <v>91701000</v>
      </c>
      <c r="CJ46" s="81"/>
      <c r="CK46" s="367"/>
      <c r="CL46" s="367"/>
      <c r="CM46" s="81"/>
      <c r="CN46" s="367"/>
      <c r="CO46" s="367"/>
      <c r="CP46" s="36"/>
      <c r="CQ46" s="36"/>
      <c r="CR46" s="367"/>
      <c r="CS46" s="36"/>
      <c r="CT46" s="1485"/>
      <c r="CU46" s="1485">
        <f t="shared" si="11"/>
        <v>0</v>
      </c>
      <c r="CV46" s="36"/>
      <c r="CW46" s="36"/>
      <c r="CX46" s="36"/>
      <c r="CY46" s="36"/>
      <c r="CZ46" s="36"/>
    </row>
    <row r="47" spans="1:104" s="67" customFormat="1">
      <c r="A47" s="201"/>
      <c r="B47" s="29" t="s">
        <v>313</v>
      </c>
      <c r="C47" s="29"/>
      <c r="D47" s="49">
        <f>SUM(D24:D46)</f>
        <v>329000</v>
      </c>
      <c r="E47" s="49">
        <f>SUM(E24:E46)</f>
        <v>0</v>
      </c>
      <c r="F47" s="1194">
        <f>SUM(F24:F46)</f>
        <v>1925994</v>
      </c>
      <c r="G47" s="1194">
        <f>SUM(G24:G46)</f>
        <v>2664283</v>
      </c>
      <c r="H47" s="1194">
        <f>SUM(H24:H46)</f>
        <v>4919277</v>
      </c>
      <c r="I47" s="49">
        <f t="shared" ref="I47:P47" si="18">SUM(I24:I46)</f>
        <v>90036500</v>
      </c>
      <c r="J47" s="49">
        <f t="shared" si="18"/>
        <v>450624700</v>
      </c>
      <c r="K47" s="49">
        <f t="shared" si="18"/>
        <v>223882100</v>
      </c>
      <c r="L47" s="49">
        <f t="shared" si="18"/>
        <v>1527926900</v>
      </c>
      <c r="M47" s="49">
        <f t="shared" si="18"/>
        <v>0</v>
      </c>
      <c r="N47" s="49">
        <f t="shared" si="18"/>
        <v>0</v>
      </c>
      <c r="O47" s="49">
        <f t="shared" si="18"/>
        <v>0</v>
      </c>
      <c r="P47" s="49">
        <f t="shared" si="18"/>
        <v>33744400</v>
      </c>
      <c r="Q47" s="49">
        <f t="shared" ref="Q47:AA47" si="19">SUM(Q24:Q46)</f>
        <v>10073880</v>
      </c>
      <c r="R47" s="49">
        <f t="shared" si="19"/>
        <v>8750000</v>
      </c>
      <c r="S47" s="49">
        <f>SUM(S24:S46)</f>
        <v>398580</v>
      </c>
      <c r="T47" s="49">
        <f>SUM(T24:T46)</f>
        <v>925300</v>
      </c>
      <c r="U47" s="49">
        <f>SUM(U24:U46)</f>
        <v>521300</v>
      </c>
      <c r="V47" s="49">
        <f>SUM(V24:V46)</f>
        <v>404000</v>
      </c>
      <c r="W47" s="79">
        <f t="shared" si="19"/>
        <v>1925670</v>
      </c>
      <c r="X47" s="49">
        <f t="shared" si="19"/>
        <v>9611400</v>
      </c>
      <c r="Y47" s="49">
        <f t="shared" si="19"/>
        <v>486900</v>
      </c>
      <c r="Z47" s="49">
        <f t="shared" si="19"/>
        <v>9124500</v>
      </c>
      <c r="AA47" s="49">
        <f t="shared" si="19"/>
        <v>2683835</v>
      </c>
      <c r="AB47" s="49">
        <f>SUM(AB24:AB46)</f>
        <v>0</v>
      </c>
      <c r="AC47" s="49">
        <f>SUM(AC24:AC46)</f>
        <v>0</v>
      </c>
      <c r="AD47" s="49">
        <f t="shared" ref="AD47:AL47" si="20">SUM(AD24:AD46)</f>
        <v>9958440</v>
      </c>
      <c r="AE47" s="49">
        <f t="shared" si="20"/>
        <v>9002040</v>
      </c>
      <c r="AF47" s="49">
        <f t="shared" si="20"/>
        <v>956400</v>
      </c>
      <c r="AG47" s="49">
        <f t="shared" si="20"/>
        <v>0</v>
      </c>
      <c r="AH47" s="49">
        <f t="shared" si="20"/>
        <v>3245000</v>
      </c>
      <c r="AI47" s="49">
        <f>SUM(AI24:AI46)</f>
        <v>2270900</v>
      </c>
      <c r="AJ47" s="49">
        <f t="shared" si="20"/>
        <v>737100</v>
      </c>
      <c r="AK47" s="49">
        <f>SUM(AK24:AK46)</f>
        <v>0</v>
      </c>
      <c r="AL47" s="49">
        <f t="shared" si="20"/>
        <v>153200</v>
      </c>
      <c r="AM47" s="49">
        <f t="shared" ref="AM47:BB47" si="21">SUM(AM24:AM46)</f>
        <v>83800</v>
      </c>
      <c r="AN47" s="49">
        <f t="shared" si="21"/>
        <v>0</v>
      </c>
      <c r="AO47" s="49">
        <f t="shared" si="21"/>
        <v>0</v>
      </c>
      <c r="AP47" s="49">
        <f t="shared" si="21"/>
        <v>9379550</v>
      </c>
      <c r="AQ47" s="49">
        <f t="shared" si="21"/>
        <v>2271060</v>
      </c>
      <c r="AR47" s="49">
        <f t="shared" si="21"/>
        <v>2686690</v>
      </c>
      <c r="AS47" s="49">
        <f t="shared" si="21"/>
        <v>4212000</v>
      </c>
      <c r="AT47" s="49">
        <f t="shared" si="21"/>
        <v>209800</v>
      </c>
      <c r="AU47" s="49">
        <f t="shared" si="21"/>
        <v>0</v>
      </c>
      <c r="AV47" s="49">
        <f t="shared" si="21"/>
        <v>12730243</v>
      </c>
      <c r="AW47" s="49">
        <f t="shared" si="21"/>
        <v>12730243</v>
      </c>
      <c r="AX47" s="49"/>
      <c r="AY47" s="79">
        <f t="shared" si="21"/>
        <v>7027855.7399999993</v>
      </c>
      <c r="AZ47" s="79">
        <f t="shared" si="21"/>
        <v>0</v>
      </c>
      <c r="BA47" s="79">
        <f t="shared" si="21"/>
        <v>0</v>
      </c>
      <c r="BB47" s="79">
        <f t="shared" si="21"/>
        <v>1239284</v>
      </c>
      <c r="BC47" s="49">
        <f t="shared" ref="BC47:BK47" si="22">SUM(BC24:BC46)</f>
        <v>468280</v>
      </c>
      <c r="BD47" s="49">
        <f t="shared" si="22"/>
        <v>4280</v>
      </c>
      <c r="BE47" s="49">
        <f t="shared" si="22"/>
        <v>0</v>
      </c>
      <c r="BF47" s="49">
        <f t="shared" si="22"/>
        <v>0</v>
      </c>
      <c r="BG47" s="49">
        <f t="shared" si="22"/>
        <v>0</v>
      </c>
      <c r="BH47" s="49">
        <f t="shared" si="22"/>
        <v>19761335</v>
      </c>
      <c r="BI47" s="49">
        <f>SUM(BI24:BI46)</f>
        <v>2108358</v>
      </c>
      <c r="BJ47" s="49">
        <f>SUM(BJ24:BJ46)</f>
        <v>2071795</v>
      </c>
      <c r="BK47" s="49">
        <f t="shared" si="22"/>
        <v>8996000</v>
      </c>
      <c r="BL47" s="49">
        <f>SUM(BL24:BL46)</f>
        <v>0</v>
      </c>
      <c r="BM47" s="49">
        <f t="shared" ref="BM47:BW47" si="23">SUM(BM24:BM46)</f>
        <v>6585182</v>
      </c>
      <c r="BN47" s="49">
        <f t="shared" si="23"/>
        <v>0</v>
      </c>
      <c r="BO47" s="49">
        <f t="shared" si="23"/>
        <v>0</v>
      </c>
      <c r="BP47" s="49">
        <f t="shared" si="23"/>
        <v>0</v>
      </c>
      <c r="BQ47" s="49">
        <f t="shared" si="23"/>
        <v>0</v>
      </c>
      <c r="BR47" s="49">
        <f t="shared" si="23"/>
        <v>0</v>
      </c>
      <c r="BS47" s="49">
        <f t="shared" si="23"/>
        <v>0</v>
      </c>
      <c r="BT47" s="49">
        <f t="shared" si="23"/>
        <v>0</v>
      </c>
      <c r="BU47" s="49">
        <f t="shared" si="23"/>
        <v>5102200</v>
      </c>
      <c r="BV47" s="49">
        <f t="shared" si="23"/>
        <v>0</v>
      </c>
      <c r="BW47" s="49">
        <f t="shared" si="23"/>
        <v>0</v>
      </c>
      <c r="BX47" s="49">
        <f>SUM(BX24:BX46)</f>
        <v>4810894</v>
      </c>
      <c r="BY47" s="49">
        <f t="shared" ref="BY47:CE47" si="24">SUM(BY24:BY46)</f>
        <v>918489</v>
      </c>
      <c r="BZ47" s="49">
        <f t="shared" si="24"/>
        <v>1612405</v>
      </c>
      <c r="CA47" s="49">
        <f t="shared" si="24"/>
        <v>1000000</v>
      </c>
      <c r="CB47" s="49">
        <f t="shared" si="24"/>
        <v>0</v>
      </c>
      <c r="CC47" s="49">
        <f t="shared" si="24"/>
        <v>0</v>
      </c>
      <c r="CD47" s="49">
        <f t="shared" si="24"/>
        <v>0</v>
      </c>
      <c r="CE47" s="49">
        <f t="shared" si="24"/>
        <v>0</v>
      </c>
      <c r="CF47" s="49">
        <f>SUM(CF24:CF46)</f>
        <v>1280000</v>
      </c>
      <c r="CG47" s="49">
        <f>SUM(CG24:CG46)</f>
        <v>50000</v>
      </c>
      <c r="CH47" s="49">
        <f>SUM(CH24:CH46)</f>
        <v>1230000</v>
      </c>
      <c r="CI47" s="79">
        <f>I47+J47+K47+L47+N47+P47+Q47+W47+X47+AA47+AB47+AC47+AD47+AH47+BA47+BB47+BC47+BE47+BF47+BH47+BO47+BP47+BQ47+BX47+BV47+BG47+BU47+AP47+BW47+O47+M47+AV47+AY47+AZ47</f>
        <v>2424232466.7399998</v>
      </c>
      <c r="CJ47" s="81"/>
      <c r="CK47" s="367"/>
      <c r="CL47" s="367"/>
      <c r="CM47" s="81"/>
      <c r="CN47" s="367"/>
      <c r="CO47" s="367"/>
      <c r="CP47" s="1486"/>
      <c r="CQ47" s="1486"/>
      <c r="CR47" s="367"/>
      <c r="CS47" s="1486"/>
      <c r="CT47" s="1485"/>
      <c r="CU47" s="1485">
        <f t="shared" si="11"/>
        <v>0</v>
      </c>
      <c r="CV47" s="1486"/>
      <c r="CW47" s="1486"/>
      <c r="CX47" s="1486"/>
      <c r="CY47" s="1486"/>
      <c r="CZ47" s="1486"/>
    </row>
    <row r="48" spans="1:104" s="67" customFormat="1" ht="31.15" customHeight="1">
      <c r="A48" s="1130" t="s">
        <v>676</v>
      </c>
      <c r="B48" s="1131" t="s">
        <v>1087</v>
      </c>
      <c r="C48" s="44"/>
      <c r="D48" s="44"/>
      <c r="E48" s="44"/>
      <c r="F48" s="415">
        <f>'дод1.1'!E81</f>
        <v>893712</v>
      </c>
      <c r="G48" s="415">
        <f>'дод 1.2'!E1509</f>
        <v>585000</v>
      </c>
      <c r="H48" s="415">
        <f t="shared" si="0"/>
        <v>1478712</v>
      </c>
      <c r="I48" s="66">
        <v>932700</v>
      </c>
      <c r="J48" s="49"/>
      <c r="K48" s="49"/>
      <c r="L48" s="49"/>
      <c r="M48" s="49"/>
      <c r="N48" s="66"/>
      <c r="O48" s="66"/>
      <c r="P48" s="49"/>
      <c r="Q48" s="66">
        <f t="shared" si="1"/>
        <v>0</v>
      </c>
      <c r="R48" s="66"/>
      <c r="S48" s="66"/>
      <c r="T48" s="66">
        <f t="shared" si="2"/>
        <v>0</v>
      </c>
      <c r="U48" s="66"/>
      <c r="V48" s="66"/>
      <c r="W48" s="51"/>
      <c r="X48" s="66">
        <f t="shared" si="3"/>
        <v>10800</v>
      </c>
      <c r="Y48" s="66">
        <v>10800</v>
      </c>
      <c r="Z48" s="66"/>
      <c r="AA48" s="66">
        <f>10700-3049</f>
        <v>7651</v>
      </c>
      <c r="AB48" s="49"/>
      <c r="AC48" s="49"/>
      <c r="AD48" s="90">
        <f t="shared" si="4"/>
        <v>0</v>
      </c>
      <c r="AE48" s="66"/>
      <c r="AF48" s="49"/>
      <c r="AG48" s="49"/>
      <c r="AH48" s="90">
        <f t="shared" si="5"/>
        <v>23500</v>
      </c>
      <c r="AI48" s="66">
        <v>17700</v>
      </c>
      <c r="AJ48" s="66">
        <v>5800</v>
      </c>
      <c r="AK48" s="66"/>
      <c r="AL48" s="66"/>
      <c r="AM48" s="66"/>
      <c r="AN48" s="66"/>
      <c r="AO48" s="66"/>
      <c r="AP48" s="90">
        <f t="shared" si="6"/>
        <v>94720</v>
      </c>
      <c r="AQ48" s="66">
        <v>22020</v>
      </c>
      <c r="AR48" s="66">
        <v>30500</v>
      </c>
      <c r="AS48" s="66">
        <v>40500</v>
      </c>
      <c r="AT48" s="66">
        <v>1700</v>
      </c>
      <c r="AU48" s="66"/>
      <c r="AV48" s="66">
        <v>40000</v>
      </c>
      <c r="AW48" s="66">
        <v>40000</v>
      </c>
      <c r="AX48" s="66"/>
      <c r="AY48" s="51"/>
      <c r="AZ48" s="66"/>
      <c r="BA48" s="66"/>
      <c r="BB48" s="49"/>
      <c r="BC48" s="66"/>
      <c r="BD48" s="66"/>
      <c r="BE48" s="49"/>
      <c r="BF48" s="49"/>
      <c r="BG48" s="66"/>
      <c r="BH48" s="90">
        <f t="shared" si="7"/>
        <v>13408</v>
      </c>
      <c r="BI48" s="90">
        <v>13408</v>
      </c>
      <c r="BJ48" s="49"/>
      <c r="BK48" s="932"/>
      <c r="BL48" s="49"/>
      <c r="BM48" s="49"/>
      <c r="BN48" s="49"/>
      <c r="BO48" s="49"/>
      <c r="BP48" s="49"/>
      <c r="BQ48" s="66">
        <f t="shared" si="8"/>
        <v>0</v>
      </c>
      <c r="BR48" s="49"/>
      <c r="BS48" s="49"/>
      <c r="BT48" s="66"/>
      <c r="BU48" s="66"/>
      <c r="BV48" s="66"/>
      <c r="BW48" s="66"/>
      <c r="BX48" s="90">
        <f>SUM(BY48:CF48)</f>
        <v>13440</v>
      </c>
      <c r="BY48" s="90">
        <v>13440</v>
      </c>
      <c r="BZ48" s="91"/>
      <c r="CA48" s="90"/>
      <c r="CB48" s="91"/>
      <c r="CC48" s="91"/>
      <c r="CD48" s="91"/>
      <c r="CE48" s="49"/>
      <c r="CF48" s="66">
        <f t="shared" si="17"/>
        <v>0</v>
      </c>
      <c r="CG48" s="49"/>
      <c r="CH48" s="66"/>
      <c r="CI48" s="51">
        <f t="shared" si="10"/>
        <v>1136219</v>
      </c>
      <c r="CJ48" s="81"/>
      <c r="CK48" s="367"/>
      <c r="CL48" s="367"/>
      <c r="CM48" s="81"/>
      <c r="CN48" s="367"/>
      <c r="CO48" s="367"/>
      <c r="CP48" s="1486"/>
      <c r="CQ48" s="1486"/>
      <c r="CR48" s="367"/>
      <c r="CS48" s="1486"/>
      <c r="CT48" s="1485"/>
      <c r="CU48" s="1485">
        <f t="shared" si="11"/>
        <v>0</v>
      </c>
      <c r="CV48" s="1486"/>
      <c r="CW48" s="1486"/>
      <c r="CX48" s="1486"/>
      <c r="CY48" s="1486"/>
      <c r="CZ48" s="1486"/>
    </row>
    <row r="49" spans="1:104" s="67" customFormat="1" ht="31.15" customHeight="1">
      <c r="A49" s="1130" t="s">
        <v>677</v>
      </c>
      <c r="B49" s="1131" t="s">
        <v>1088</v>
      </c>
      <c r="C49" s="44"/>
      <c r="D49" s="44"/>
      <c r="E49" s="44"/>
      <c r="F49" s="415">
        <f>'дод1.1'!E92</f>
        <v>200000</v>
      </c>
      <c r="G49" s="415"/>
      <c r="H49" s="415">
        <f t="shared" si="0"/>
        <v>200000</v>
      </c>
      <c r="I49" s="66">
        <v>1134300</v>
      </c>
      <c r="J49" s="49"/>
      <c r="K49" s="49"/>
      <c r="L49" s="49"/>
      <c r="M49" s="49"/>
      <c r="N49" s="66"/>
      <c r="O49" s="66"/>
      <c r="P49" s="49"/>
      <c r="Q49" s="66">
        <f t="shared" si="1"/>
        <v>250000</v>
      </c>
      <c r="R49" s="66">
        <v>250000</v>
      </c>
      <c r="S49" s="66"/>
      <c r="T49" s="66">
        <f t="shared" si="2"/>
        <v>0</v>
      </c>
      <c r="U49" s="66"/>
      <c r="V49" s="66"/>
      <c r="W49" s="51"/>
      <c r="X49" s="66">
        <f t="shared" si="3"/>
        <v>7300</v>
      </c>
      <c r="Y49" s="66">
        <v>7300</v>
      </c>
      <c r="Z49" s="66"/>
      <c r="AA49" s="66"/>
      <c r="AB49" s="49"/>
      <c r="AC49" s="49"/>
      <c r="AD49" s="90">
        <f t="shared" si="4"/>
        <v>0</v>
      </c>
      <c r="AE49" s="66"/>
      <c r="AF49" s="49"/>
      <c r="AG49" s="49"/>
      <c r="AH49" s="90">
        <f t="shared" si="5"/>
        <v>23500</v>
      </c>
      <c r="AI49" s="66">
        <v>17700</v>
      </c>
      <c r="AJ49" s="66">
        <v>5800</v>
      </c>
      <c r="AK49" s="66"/>
      <c r="AL49" s="66"/>
      <c r="AM49" s="66"/>
      <c r="AN49" s="66"/>
      <c r="AO49" s="66"/>
      <c r="AP49" s="90">
        <f t="shared" si="6"/>
        <v>108080</v>
      </c>
      <c r="AQ49" s="66">
        <v>30280</v>
      </c>
      <c r="AR49" s="66">
        <v>34500</v>
      </c>
      <c r="AS49" s="66">
        <v>40500</v>
      </c>
      <c r="AT49" s="66">
        <v>2800</v>
      </c>
      <c r="AU49" s="66"/>
      <c r="AV49" s="66">
        <v>12490</v>
      </c>
      <c r="AW49" s="66">
        <v>12490</v>
      </c>
      <c r="AX49" s="66"/>
      <c r="AY49" s="51"/>
      <c r="AZ49" s="66"/>
      <c r="BA49" s="66"/>
      <c r="BB49" s="49"/>
      <c r="BC49" s="66"/>
      <c r="BD49" s="66"/>
      <c r="BE49" s="49"/>
      <c r="BF49" s="49"/>
      <c r="BG49" s="66"/>
      <c r="BH49" s="90">
        <f t="shared" si="7"/>
        <v>40000</v>
      </c>
      <c r="BI49" s="90">
        <v>40000</v>
      </c>
      <c r="BJ49" s="49"/>
      <c r="BK49" s="932"/>
      <c r="BL49" s="49"/>
      <c r="BM49" s="49"/>
      <c r="BN49" s="49"/>
      <c r="BO49" s="49"/>
      <c r="BP49" s="49"/>
      <c r="BQ49" s="66">
        <f t="shared" si="8"/>
        <v>0</v>
      </c>
      <c r="BR49" s="66"/>
      <c r="BS49" s="66"/>
      <c r="BT49" s="66"/>
      <c r="BU49" s="66"/>
      <c r="BV49" s="66"/>
      <c r="BW49" s="66"/>
      <c r="BX49" s="90">
        <f t="shared" ref="BX49:BX98" si="25">SUM(BY49:CF49)</f>
        <v>0</v>
      </c>
      <c r="BY49" s="90">
        <v>0</v>
      </c>
      <c r="BZ49" s="91"/>
      <c r="CA49" s="90"/>
      <c r="CB49" s="91"/>
      <c r="CC49" s="91"/>
      <c r="CD49" s="91"/>
      <c r="CE49" s="49"/>
      <c r="CF49" s="66">
        <f t="shared" si="17"/>
        <v>0</v>
      </c>
      <c r="CG49" s="49"/>
      <c r="CH49" s="66"/>
      <c r="CI49" s="51">
        <f t="shared" si="10"/>
        <v>1575670</v>
      </c>
      <c r="CJ49" s="81"/>
      <c r="CK49" s="367"/>
      <c r="CL49" s="367"/>
      <c r="CM49" s="81"/>
      <c r="CN49" s="367"/>
      <c r="CO49" s="367"/>
      <c r="CP49" s="1487"/>
      <c r="CQ49" s="1486"/>
      <c r="CR49" s="367"/>
      <c r="CS49" s="1486"/>
      <c r="CT49" s="1485"/>
      <c r="CU49" s="1485">
        <f t="shared" si="11"/>
        <v>0</v>
      </c>
      <c r="CV49" s="1486"/>
      <c r="CW49" s="1486"/>
      <c r="CX49" s="1486"/>
      <c r="CY49" s="1486"/>
      <c r="CZ49" s="1486"/>
    </row>
    <row r="50" spans="1:104" s="67" customFormat="1" ht="31.15" customHeight="1">
      <c r="A50" s="1130" t="s">
        <v>678</v>
      </c>
      <c r="B50" s="1131" t="s">
        <v>1089</v>
      </c>
      <c r="C50" s="44"/>
      <c r="D50" s="44"/>
      <c r="E50" s="44"/>
      <c r="F50" s="415">
        <f>'дод1.1'!E52</f>
        <v>720000</v>
      </c>
      <c r="G50" s="415"/>
      <c r="H50" s="415">
        <f t="shared" si="0"/>
        <v>720000</v>
      </c>
      <c r="I50" s="66">
        <v>1773500</v>
      </c>
      <c r="J50" s="49"/>
      <c r="K50" s="49"/>
      <c r="L50" s="49"/>
      <c r="M50" s="49"/>
      <c r="N50" s="66"/>
      <c r="O50" s="66"/>
      <c r="P50" s="49"/>
      <c r="Q50" s="66">
        <f t="shared" si="1"/>
        <v>0</v>
      </c>
      <c r="R50" s="66"/>
      <c r="S50" s="66"/>
      <c r="T50" s="66">
        <f t="shared" si="2"/>
        <v>0</v>
      </c>
      <c r="U50" s="66"/>
      <c r="V50" s="66"/>
      <c r="W50" s="51"/>
      <c r="X50" s="66">
        <f t="shared" si="3"/>
        <v>2900</v>
      </c>
      <c r="Y50" s="66">
        <v>2900</v>
      </c>
      <c r="Z50" s="66"/>
      <c r="AA50" s="66">
        <v>19000</v>
      </c>
      <c r="AB50" s="49"/>
      <c r="AC50" s="49"/>
      <c r="AD50" s="90">
        <f t="shared" si="4"/>
        <v>0</v>
      </c>
      <c r="AE50" s="66"/>
      <c r="AF50" s="49"/>
      <c r="AG50" s="49"/>
      <c r="AH50" s="90">
        <f t="shared" si="5"/>
        <v>15800</v>
      </c>
      <c r="AI50" s="66">
        <v>0</v>
      </c>
      <c r="AJ50" s="66"/>
      <c r="AK50" s="66"/>
      <c r="AL50" s="66">
        <v>10200</v>
      </c>
      <c r="AM50" s="66">
        <v>5600</v>
      </c>
      <c r="AN50" s="66"/>
      <c r="AO50" s="66"/>
      <c r="AP50" s="90">
        <f t="shared" si="6"/>
        <v>138080</v>
      </c>
      <c r="AQ50" s="66">
        <v>33030</v>
      </c>
      <c r="AR50" s="66">
        <v>41500</v>
      </c>
      <c r="AS50" s="66">
        <v>60750</v>
      </c>
      <c r="AT50" s="66">
        <v>2800</v>
      </c>
      <c r="AU50" s="66"/>
      <c r="AV50" s="66">
        <v>300000</v>
      </c>
      <c r="AW50" s="66">
        <v>300000</v>
      </c>
      <c r="AX50" s="66"/>
      <c r="AY50" s="51"/>
      <c r="AZ50" s="66"/>
      <c r="BA50" s="66"/>
      <c r="BB50" s="49"/>
      <c r="BC50" s="66"/>
      <c r="BD50" s="66"/>
      <c r="BE50" s="49"/>
      <c r="BF50" s="49"/>
      <c r="BG50" s="66"/>
      <c r="BH50" s="90">
        <f t="shared" si="7"/>
        <v>0</v>
      </c>
      <c r="BI50" s="90">
        <v>0</v>
      </c>
      <c r="BJ50" s="66"/>
      <c r="BK50" s="932"/>
      <c r="BL50" s="49"/>
      <c r="BM50" s="49"/>
      <c r="BN50" s="49"/>
      <c r="BO50" s="49"/>
      <c r="BP50" s="49"/>
      <c r="BQ50" s="66">
        <f t="shared" si="8"/>
        <v>0</v>
      </c>
      <c r="BR50" s="66"/>
      <c r="BS50" s="66"/>
      <c r="BT50" s="66"/>
      <c r="BU50" s="66"/>
      <c r="BV50" s="66"/>
      <c r="BW50" s="66"/>
      <c r="BX50" s="90">
        <f t="shared" si="25"/>
        <v>25000</v>
      </c>
      <c r="BY50" s="90">
        <v>25000</v>
      </c>
      <c r="BZ50" s="91"/>
      <c r="CA50" s="91"/>
      <c r="CB50" s="91"/>
      <c r="CC50" s="91"/>
      <c r="CD50" s="91"/>
      <c r="CE50" s="49"/>
      <c r="CF50" s="66">
        <f t="shared" si="17"/>
        <v>0</v>
      </c>
      <c r="CG50" s="49"/>
      <c r="CH50" s="66"/>
      <c r="CI50" s="51">
        <f t="shared" si="10"/>
        <v>2274280</v>
      </c>
      <c r="CJ50" s="81"/>
      <c r="CK50" s="367"/>
      <c r="CL50" s="367"/>
      <c r="CM50" s="81"/>
      <c r="CN50" s="367"/>
      <c r="CO50" s="367"/>
      <c r="CP50" s="1487"/>
      <c r="CQ50" s="1486"/>
      <c r="CR50" s="367"/>
      <c r="CS50" s="1486"/>
      <c r="CT50" s="1485"/>
      <c r="CU50" s="1485">
        <f t="shared" si="11"/>
        <v>0</v>
      </c>
      <c r="CV50" s="1486"/>
      <c r="CW50" s="1486"/>
      <c r="CX50" s="1486"/>
      <c r="CY50" s="1486"/>
      <c r="CZ50" s="1486"/>
    </row>
    <row r="51" spans="1:104" s="67" customFormat="1" ht="31.15" customHeight="1">
      <c r="A51" s="1130" t="s">
        <v>679</v>
      </c>
      <c r="B51" s="1131" t="s">
        <v>1090</v>
      </c>
      <c r="C51" s="44"/>
      <c r="D51" s="44"/>
      <c r="E51" s="44"/>
      <c r="F51" s="415"/>
      <c r="G51" s="415"/>
      <c r="H51" s="415">
        <f t="shared" si="0"/>
        <v>0</v>
      </c>
      <c r="I51" s="66">
        <v>1925400</v>
      </c>
      <c r="J51" s="49"/>
      <c r="K51" s="49"/>
      <c r="L51" s="49"/>
      <c r="M51" s="49"/>
      <c r="N51" s="66"/>
      <c r="O51" s="66"/>
      <c r="P51" s="49"/>
      <c r="Q51" s="66">
        <f t="shared" si="1"/>
        <v>450000</v>
      </c>
      <c r="R51" s="66">
        <v>250000</v>
      </c>
      <c r="S51" s="66"/>
      <c r="T51" s="66">
        <f t="shared" si="2"/>
        <v>200000</v>
      </c>
      <c r="U51" s="66"/>
      <c r="V51" s="66">
        <v>200000</v>
      </c>
      <c r="W51" s="51"/>
      <c r="X51" s="66">
        <f t="shared" si="3"/>
        <v>6100</v>
      </c>
      <c r="Y51" s="66">
        <v>6100</v>
      </c>
      <c r="Z51" s="66"/>
      <c r="AA51" s="66">
        <v>55200</v>
      </c>
      <c r="AB51" s="49"/>
      <c r="AC51" s="49"/>
      <c r="AD51" s="90">
        <f t="shared" si="4"/>
        <v>0</v>
      </c>
      <c r="AE51" s="66"/>
      <c r="AF51" s="66"/>
      <c r="AG51" s="66"/>
      <c r="AH51" s="90">
        <f t="shared" si="5"/>
        <v>117900</v>
      </c>
      <c r="AI51" s="66">
        <v>53200</v>
      </c>
      <c r="AJ51" s="66">
        <v>17300</v>
      </c>
      <c r="AK51" s="66"/>
      <c r="AL51" s="66">
        <v>30700</v>
      </c>
      <c r="AM51" s="66">
        <v>16700</v>
      </c>
      <c r="AN51" s="66"/>
      <c r="AO51" s="66"/>
      <c r="AP51" s="90">
        <f t="shared" si="6"/>
        <v>179910</v>
      </c>
      <c r="AQ51" s="66">
        <v>49550</v>
      </c>
      <c r="AR51" s="66">
        <v>86260</v>
      </c>
      <c r="AS51" s="66">
        <v>40500</v>
      </c>
      <c r="AT51" s="66">
        <v>3600</v>
      </c>
      <c r="AU51" s="66"/>
      <c r="AV51" s="66"/>
      <c r="AW51" s="66"/>
      <c r="AX51" s="66"/>
      <c r="AY51" s="51"/>
      <c r="AZ51" s="66"/>
      <c r="BA51" s="66"/>
      <c r="BB51" s="66"/>
      <c r="BC51" s="66"/>
      <c r="BD51" s="66"/>
      <c r="BE51" s="49"/>
      <c r="BF51" s="49"/>
      <c r="BG51" s="66"/>
      <c r="BH51" s="90">
        <f t="shared" si="7"/>
        <v>27112</v>
      </c>
      <c r="BI51" s="90">
        <v>27112</v>
      </c>
      <c r="BJ51" s="49"/>
      <c r="BK51" s="932"/>
      <c r="BL51" s="49"/>
      <c r="BM51" s="49"/>
      <c r="BN51" s="49"/>
      <c r="BO51" s="49"/>
      <c r="BP51" s="49"/>
      <c r="BQ51" s="66">
        <f t="shared" si="8"/>
        <v>0</v>
      </c>
      <c r="BR51" s="66"/>
      <c r="BS51" s="66"/>
      <c r="BT51" s="66"/>
      <c r="BU51" s="66"/>
      <c r="BV51" s="66"/>
      <c r="BW51" s="66"/>
      <c r="BX51" s="90">
        <f t="shared" si="25"/>
        <v>0</v>
      </c>
      <c r="BY51" s="90">
        <v>0</v>
      </c>
      <c r="BZ51" s="90"/>
      <c r="CA51" s="90"/>
      <c r="CB51" s="91"/>
      <c r="CC51" s="91"/>
      <c r="CD51" s="91"/>
      <c r="CE51" s="49"/>
      <c r="CF51" s="66">
        <f t="shared" si="17"/>
        <v>0</v>
      </c>
      <c r="CG51" s="49"/>
      <c r="CH51" s="66"/>
      <c r="CI51" s="51">
        <f t="shared" si="10"/>
        <v>2761622</v>
      </c>
      <c r="CJ51" s="81"/>
      <c r="CK51" s="367"/>
      <c r="CL51" s="367"/>
      <c r="CM51" s="81"/>
      <c r="CN51" s="367"/>
      <c r="CO51" s="367"/>
      <c r="CP51" s="1487"/>
      <c r="CQ51" s="1486"/>
      <c r="CR51" s="367"/>
      <c r="CS51" s="1486"/>
      <c r="CT51" s="1485"/>
      <c r="CU51" s="1485">
        <f t="shared" si="11"/>
        <v>0</v>
      </c>
      <c r="CV51" s="1486"/>
      <c r="CW51" s="1486"/>
      <c r="CX51" s="1486"/>
      <c r="CY51" s="1486"/>
      <c r="CZ51" s="1486"/>
    </row>
    <row r="52" spans="1:104" s="67" customFormat="1" ht="31.15" customHeight="1">
      <c r="A52" s="1130" t="s">
        <v>680</v>
      </c>
      <c r="B52" s="1131" t="s">
        <v>1091</v>
      </c>
      <c r="C52" s="44"/>
      <c r="D52" s="44"/>
      <c r="E52" s="44"/>
      <c r="F52" s="415"/>
      <c r="G52" s="415"/>
      <c r="H52" s="415">
        <f t="shared" si="0"/>
        <v>0</v>
      </c>
      <c r="I52" s="66">
        <v>3532600</v>
      </c>
      <c r="J52" s="49"/>
      <c r="K52" s="49"/>
      <c r="L52" s="49"/>
      <c r="M52" s="49"/>
      <c r="N52" s="66"/>
      <c r="O52" s="66"/>
      <c r="P52" s="49"/>
      <c r="Q52" s="66">
        <f t="shared" si="1"/>
        <v>132860</v>
      </c>
      <c r="R52" s="66"/>
      <c r="S52" s="66">
        <v>132860</v>
      </c>
      <c r="T52" s="66">
        <f t="shared" si="2"/>
        <v>0</v>
      </c>
      <c r="U52" s="66"/>
      <c r="V52" s="66"/>
      <c r="W52" s="51">
        <v>23550</v>
      </c>
      <c r="X52" s="66">
        <f t="shared" si="3"/>
        <v>120900</v>
      </c>
      <c r="Y52" s="66">
        <v>9600</v>
      </c>
      <c r="Z52" s="66">
        <v>111300</v>
      </c>
      <c r="AA52" s="66">
        <v>59000</v>
      </c>
      <c r="AB52" s="49"/>
      <c r="AC52" s="49"/>
      <c r="AD52" s="90">
        <f t="shared" si="4"/>
        <v>0</v>
      </c>
      <c r="AE52" s="66"/>
      <c r="AF52" s="49"/>
      <c r="AG52" s="49"/>
      <c r="AH52" s="90">
        <f t="shared" si="5"/>
        <v>211500</v>
      </c>
      <c r="AI52" s="66">
        <v>159700</v>
      </c>
      <c r="AJ52" s="66">
        <v>51800</v>
      </c>
      <c r="AK52" s="66"/>
      <c r="AL52" s="66"/>
      <c r="AM52" s="66"/>
      <c r="AN52" s="66"/>
      <c r="AO52" s="66"/>
      <c r="AP52" s="90">
        <f t="shared" si="6"/>
        <v>370855</v>
      </c>
      <c r="AQ52" s="66">
        <v>85340</v>
      </c>
      <c r="AR52" s="66">
        <v>95260</v>
      </c>
      <c r="AS52" s="66">
        <v>182255</v>
      </c>
      <c r="AT52" s="66">
        <v>8000</v>
      </c>
      <c r="AU52" s="66"/>
      <c r="AV52" s="66">
        <v>1423484</v>
      </c>
      <c r="AW52" s="66">
        <v>1423484</v>
      </c>
      <c r="AX52" s="66"/>
      <c r="AY52" s="51"/>
      <c r="AZ52" s="66"/>
      <c r="BA52" s="66"/>
      <c r="BB52" s="49"/>
      <c r="BC52" s="66"/>
      <c r="BD52" s="66"/>
      <c r="BE52" s="49"/>
      <c r="BF52" s="49"/>
      <c r="BG52" s="66"/>
      <c r="BH52" s="90">
        <f t="shared" si="7"/>
        <v>10000</v>
      </c>
      <c r="BI52" s="90">
        <v>10000</v>
      </c>
      <c r="BJ52" s="66"/>
      <c r="BK52" s="66"/>
      <c r="BL52" s="49"/>
      <c r="BM52" s="49"/>
      <c r="BN52" s="66"/>
      <c r="BO52" s="49"/>
      <c r="BP52" s="49"/>
      <c r="BQ52" s="66">
        <f t="shared" si="8"/>
        <v>0</v>
      </c>
      <c r="BR52" s="66"/>
      <c r="BS52" s="66"/>
      <c r="BT52" s="66"/>
      <c r="BU52" s="66"/>
      <c r="BV52" s="66"/>
      <c r="BW52" s="66"/>
      <c r="BX52" s="90">
        <f t="shared" si="25"/>
        <v>87500</v>
      </c>
      <c r="BY52" s="90">
        <v>0</v>
      </c>
      <c r="BZ52" s="90"/>
      <c r="CA52" s="91"/>
      <c r="CB52" s="90">
        <v>87500</v>
      </c>
      <c r="CC52" s="91"/>
      <c r="CD52" s="91"/>
      <c r="CE52" s="66"/>
      <c r="CF52" s="66">
        <f t="shared" si="17"/>
        <v>0</v>
      </c>
      <c r="CG52" s="49"/>
      <c r="CH52" s="66">
        <f>50000-50000</f>
        <v>0</v>
      </c>
      <c r="CI52" s="51">
        <f t="shared" si="10"/>
        <v>5972249</v>
      </c>
      <c r="CJ52" s="81"/>
      <c r="CK52" s="367"/>
      <c r="CL52" s="367"/>
      <c r="CM52" s="81"/>
      <c r="CN52" s="367"/>
      <c r="CO52" s="367"/>
      <c r="CP52" s="1486"/>
      <c r="CQ52" s="1486"/>
      <c r="CR52" s="367"/>
      <c r="CS52" s="1486"/>
      <c r="CT52" s="1485"/>
      <c r="CU52" s="1485">
        <f t="shared" si="11"/>
        <v>0</v>
      </c>
      <c r="CV52" s="1486"/>
      <c r="CW52" s="1486"/>
      <c r="CX52" s="1486"/>
      <c r="CY52" s="1486"/>
      <c r="CZ52" s="1486"/>
    </row>
    <row r="53" spans="1:104" s="67" customFormat="1" ht="31.15" customHeight="1">
      <c r="A53" s="1130" t="s">
        <v>681</v>
      </c>
      <c r="B53" s="1131" t="s">
        <v>1092</v>
      </c>
      <c r="C53" s="44"/>
      <c r="D53" s="44"/>
      <c r="E53" s="44"/>
      <c r="F53" s="415">
        <f>'дод1.1'!E123</f>
        <v>1010000</v>
      </c>
      <c r="G53" s="415">
        <f>'дод 1.2'!E1653</f>
        <v>14000</v>
      </c>
      <c r="H53" s="415">
        <f t="shared" si="0"/>
        <v>1024000</v>
      </c>
      <c r="I53" s="66">
        <v>3043600</v>
      </c>
      <c r="J53" s="49"/>
      <c r="K53" s="49"/>
      <c r="L53" s="49"/>
      <c r="M53" s="49"/>
      <c r="N53" s="66"/>
      <c r="O53" s="66"/>
      <c r="P53" s="49"/>
      <c r="Q53" s="66">
        <f t="shared" si="1"/>
        <v>500000</v>
      </c>
      <c r="R53" s="66">
        <v>500000</v>
      </c>
      <c r="S53" s="66"/>
      <c r="T53" s="66">
        <f t="shared" si="2"/>
        <v>0</v>
      </c>
      <c r="U53" s="66"/>
      <c r="V53" s="66"/>
      <c r="W53" s="51"/>
      <c r="X53" s="66">
        <f t="shared" si="3"/>
        <v>7600</v>
      </c>
      <c r="Y53" s="66">
        <v>7600</v>
      </c>
      <c r="Z53" s="66"/>
      <c r="AA53" s="66">
        <f>61300-4148</f>
        <v>57152</v>
      </c>
      <c r="AB53" s="49"/>
      <c r="AC53" s="49"/>
      <c r="AD53" s="90">
        <f t="shared" si="4"/>
        <v>994960</v>
      </c>
      <c r="AE53" s="66">
        <f>1040760-45800</f>
        <v>994960</v>
      </c>
      <c r="AF53" s="66"/>
      <c r="AG53" s="66"/>
      <c r="AH53" s="90">
        <f t="shared" si="5"/>
        <v>0</v>
      </c>
      <c r="AI53" s="66">
        <v>0</v>
      </c>
      <c r="AJ53" s="66"/>
      <c r="AK53" s="66"/>
      <c r="AL53" s="66"/>
      <c r="AM53" s="66"/>
      <c r="AN53" s="66"/>
      <c r="AO53" s="66"/>
      <c r="AP53" s="90">
        <f t="shared" si="6"/>
        <v>232370</v>
      </c>
      <c r="AQ53" s="66">
        <v>63310</v>
      </c>
      <c r="AR53" s="66">
        <v>103010</v>
      </c>
      <c r="AS53" s="66">
        <v>60750</v>
      </c>
      <c r="AT53" s="66">
        <v>5300</v>
      </c>
      <c r="AU53" s="66"/>
      <c r="AV53" s="66">
        <v>15180</v>
      </c>
      <c r="AW53" s="66">
        <v>15180</v>
      </c>
      <c r="AX53" s="66"/>
      <c r="AY53" s="51"/>
      <c r="AZ53" s="66"/>
      <c r="BA53" s="66"/>
      <c r="BB53" s="66"/>
      <c r="BC53" s="66"/>
      <c r="BD53" s="66"/>
      <c r="BE53" s="49"/>
      <c r="BF53" s="49"/>
      <c r="BG53" s="66"/>
      <c r="BH53" s="90">
        <f t="shared" si="7"/>
        <v>84800</v>
      </c>
      <c r="BI53" s="90">
        <v>84800</v>
      </c>
      <c r="BJ53" s="66"/>
      <c r="BK53" s="49"/>
      <c r="BL53" s="49"/>
      <c r="BM53" s="49"/>
      <c r="BN53" s="49"/>
      <c r="BO53" s="49"/>
      <c r="BP53" s="49"/>
      <c r="BQ53" s="66">
        <f t="shared" si="8"/>
        <v>0</v>
      </c>
      <c r="BR53" s="66"/>
      <c r="BS53" s="66"/>
      <c r="BT53" s="66"/>
      <c r="BU53" s="66"/>
      <c r="BV53" s="66"/>
      <c r="BW53" s="66"/>
      <c r="BX53" s="90">
        <f t="shared" si="25"/>
        <v>200000</v>
      </c>
      <c r="BY53" s="90">
        <v>0</v>
      </c>
      <c r="BZ53" s="90">
        <v>200000</v>
      </c>
      <c r="CA53" s="90"/>
      <c r="CB53" s="90"/>
      <c r="CC53" s="91"/>
      <c r="CD53" s="91"/>
      <c r="CE53" s="49"/>
      <c r="CF53" s="66">
        <f t="shared" si="17"/>
        <v>0</v>
      </c>
      <c r="CG53" s="49"/>
      <c r="CH53" s="66">
        <f>100000-100000</f>
        <v>0</v>
      </c>
      <c r="CI53" s="51">
        <f t="shared" si="10"/>
        <v>5135662</v>
      </c>
      <c r="CJ53" s="81"/>
      <c r="CK53" s="367"/>
      <c r="CL53" s="367"/>
      <c r="CM53" s="81"/>
      <c r="CN53" s="367"/>
      <c r="CO53" s="367"/>
      <c r="CP53" s="1487"/>
      <c r="CQ53" s="1486"/>
      <c r="CR53" s="367"/>
      <c r="CS53" s="1486"/>
      <c r="CT53" s="1485"/>
      <c r="CU53" s="1485">
        <f t="shared" si="11"/>
        <v>0</v>
      </c>
      <c r="CV53" s="1486"/>
      <c r="CW53" s="1486"/>
      <c r="CX53" s="1486"/>
      <c r="CY53" s="1486"/>
      <c r="CZ53" s="1486"/>
    </row>
    <row r="54" spans="1:104" s="67" customFormat="1" ht="31.15" customHeight="1">
      <c r="A54" s="1130" t="s">
        <v>682</v>
      </c>
      <c r="B54" s="1131" t="s">
        <v>1093</v>
      </c>
      <c r="C54" s="44"/>
      <c r="D54" s="1186"/>
      <c r="E54" s="44"/>
      <c r="F54" s="415">
        <f>'дод1.1'!E131</f>
        <v>11000</v>
      </c>
      <c r="G54" s="415"/>
      <c r="H54" s="415">
        <f t="shared" si="0"/>
        <v>11000</v>
      </c>
      <c r="I54" s="66">
        <v>1354800</v>
      </c>
      <c r="J54" s="49"/>
      <c r="K54" s="49"/>
      <c r="L54" s="49"/>
      <c r="M54" s="49"/>
      <c r="N54" s="66"/>
      <c r="O54" s="66"/>
      <c r="P54" s="49"/>
      <c r="Q54" s="66">
        <f t="shared" si="1"/>
        <v>350000</v>
      </c>
      <c r="R54" s="66"/>
      <c r="S54" s="66"/>
      <c r="T54" s="66">
        <f t="shared" si="2"/>
        <v>350000</v>
      </c>
      <c r="U54" s="66">
        <v>50000</v>
      </c>
      <c r="V54" s="66">
        <v>300000</v>
      </c>
      <c r="W54" s="51"/>
      <c r="X54" s="66">
        <f t="shared" si="3"/>
        <v>3800</v>
      </c>
      <c r="Y54" s="66">
        <v>3800</v>
      </c>
      <c r="Z54" s="66"/>
      <c r="AA54" s="66"/>
      <c r="AB54" s="49"/>
      <c r="AC54" s="49"/>
      <c r="AD54" s="90">
        <f t="shared" si="4"/>
        <v>0</v>
      </c>
      <c r="AE54" s="66"/>
      <c r="AF54" s="49"/>
      <c r="AG54" s="49"/>
      <c r="AH54" s="90">
        <f t="shared" si="5"/>
        <v>0</v>
      </c>
      <c r="AI54" s="66">
        <v>0</v>
      </c>
      <c r="AJ54" s="66"/>
      <c r="AK54" s="66"/>
      <c r="AL54" s="66"/>
      <c r="AM54" s="66"/>
      <c r="AN54" s="66"/>
      <c r="AO54" s="66"/>
      <c r="AP54" s="90">
        <f t="shared" si="6"/>
        <v>93970</v>
      </c>
      <c r="AQ54" s="66">
        <v>22020</v>
      </c>
      <c r="AR54" s="66">
        <v>29750</v>
      </c>
      <c r="AS54" s="66">
        <v>40500</v>
      </c>
      <c r="AT54" s="66">
        <v>1700</v>
      </c>
      <c r="AU54" s="66"/>
      <c r="AV54" s="66"/>
      <c r="AW54" s="66"/>
      <c r="AX54" s="66"/>
      <c r="AY54" s="51"/>
      <c r="AZ54" s="66"/>
      <c r="BA54" s="66"/>
      <c r="BB54" s="49"/>
      <c r="BC54" s="66"/>
      <c r="BD54" s="66"/>
      <c r="BE54" s="49"/>
      <c r="BF54" s="49"/>
      <c r="BG54" s="66"/>
      <c r="BH54" s="90">
        <f t="shared" si="7"/>
        <v>61000</v>
      </c>
      <c r="BI54" s="90">
        <v>61000</v>
      </c>
      <c r="BJ54" s="49"/>
      <c r="BK54" s="49"/>
      <c r="BL54" s="49"/>
      <c r="BM54" s="49"/>
      <c r="BN54" s="49"/>
      <c r="BO54" s="49"/>
      <c r="BP54" s="49"/>
      <c r="BQ54" s="66">
        <f t="shared" si="8"/>
        <v>0</v>
      </c>
      <c r="BR54" s="49"/>
      <c r="BS54" s="49"/>
      <c r="BT54" s="66"/>
      <c r="BU54" s="66"/>
      <c r="BV54" s="66"/>
      <c r="BW54" s="66"/>
      <c r="BX54" s="90">
        <f t="shared" si="25"/>
        <v>10000</v>
      </c>
      <c r="BY54" s="90">
        <v>10000</v>
      </c>
      <c r="BZ54" s="90"/>
      <c r="CA54" s="90"/>
      <c r="CB54" s="90"/>
      <c r="CC54" s="91"/>
      <c r="CD54" s="91"/>
      <c r="CE54" s="66"/>
      <c r="CF54" s="66">
        <f t="shared" si="17"/>
        <v>0</v>
      </c>
      <c r="CG54" s="49"/>
      <c r="CH54" s="66"/>
      <c r="CI54" s="51">
        <f t="shared" si="10"/>
        <v>1873570</v>
      </c>
      <c r="CJ54" s="81"/>
      <c r="CK54" s="367"/>
      <c r="CL54" s="367"/>
      <c r="CM54" s="81"/>
      <c r="CN54" s="367"/>
      <c r="CO54" s="367"/>
      <c r="CP54" s="1487"/>
      <c r="CQ54" s="1486"/>
      <c r="CR54" s="367"/>
      <c r="CS54" s="1486"/>
      <c r="CT54" s="1485"/>
      <c r="CU54" s="1485">
        <f t="shared" si="11"/>
        <v>0</v>
      </c>
      <c r="CV54" s="1486"/>
      <c r="CW54" s="1486"/>
      <c r="CX54" s="1486"/>
      <c r="CY54" s="1486"/>
      <c r="CZ54" s="1486"/>
    </row>
    <row r="55" spans="1:104" s="67" customFormat="1" ht="31.15" customHeight="1">
      <c r="A55" s="1130" t="s">
        <v>683</v>
      </c>
      <c r="B55" s="1131" t="s">
        <v>1094</v>
      </c>
      <c r="C55" s="44"/>
      <c r="D55" s="44"/>
      <c r="E55" s="44"/>
      <c r="F55" s="415"/>
      <c r="G55" s="415"/>
      <c r="H55" s="415">
        <f t="shared" si="0"/>
        <v>0</v>
      </c>
      <c r="I55" s="66">
        <v>2082000</v>
      </c>
      <c r="J55" s="49"/>
      <c r="K55" s="49"/>
      <c r="L55" s="49"/>
      <c r="M55" s="49"/>
      <c r="N55" s="66"/>
      <c r="O55" s="66"/>
      <c r="P55" s="49"/>
      <c r="Q55" s="66">
        <f t="shared" si="1"/>
        <v>0</v>
      </c>
      <c r="R55" s="66"/>
      <c r="S55" s="66"/>
      <c r="T55" s="66">
        <f t="shared" si="2"/>
        <v>0</v>
      </c>
      <c r="U55" s="66"/>
      <c r="V55" s="66"/>
      <c r="W55" s="51"/>
      <c r="X55" s="66">
        <f t="shared" si="3"/>
        <v>7300</v>
      </c>
      <c r="Y55" s="66">
        <v>7300</v>
      </c>
      <c r="Z55" s="66"/>
      <c r="AA55" s="66">
        <v>78200</v>
      </c>
      <c r="AB55" s="49"/>
      <c r="AC55" s="49"/>
      <c r="AD55" s="90">
        <f t="shared" si="4"/>
        <v>0</v>
      </c>
      <c r="AE55" s="66"/>
      <c r="AF55" s="49"/>
      <c r="AG55" s="49"/>
      <c r="AH55" s="90">
        <f t="shared" si="5"/>
        <v>62800</v>
      </c>
      <c r="AI55" s="66">
        <v>35500</v>
      </c>
      <c r="AJ55" s="66">
        <v>11500</v>
      </c>
      <c r="AK55" s="66"/>
      <c r="AL55" s="66">
        <v>10200</v>
      </c>
      <c r="AM55" s="66">
        <v>5600</v>
      </c>
      <c r="AN55" s="66"/>
      <c r="AO55" s="66"/>
      <c r="AP55" s="90">
        <f t="shared" si="6"/>
        <v>147790</v>
      </c>
      <c r="AQ55" s="66">
        <v>38540</v>
      </c>
      <c r="AR55" s="66">
        <v>66250</v>
      </c>
      <c r="AS55" s="66">
        <v>40500</v>
      </c>
      <c r="AT55" s="66">
        <v>2500</v>
      </c>
      <c r="AU55" s="66"/>
      <c r="AV55" s="66"/>
      <c r="AW55" s="66"/>
      <c r="AX55" s="66"/>
      <c r="AY55" s="51"/>
      <c r="AZ55" s="66"/>
      <c r="BA55" s="66"/>
      <c r="BB55" s="49"/>
      <c r="BC55" s="66"/>
      <c r="BD55" s="66"/>
      <c r="BE55" s="49"/>
      <c r="BF55" s="49"/>
      <c r="BG55" s="66"/>
      <c r="BH55" s="90">
        <f t="shared" si="7"/>
        <v>13600</v>
      </c>
      <c r="BI55" s="90">
        <v>13600</v>
      </c>
      <c r="BJ55" s="49"/>
      <c r="BK55" s="49"/>
      <c r="BL55" s="49"/>
      <c r="BM55" s="49"/>
      <c r="BN55" s="49"/>
      <c r="BO55" s="49"/>
      <c r="BP55" s="49"/>
      <c r="BQ55" s="66">
        <f t="shared" si="8"/>
        <v>0</v>
      </c>
      <c r="BR55" s="49"/>
      <c r="BS55" s="49"/>
      <c r="BT55" s="66"/>
      <c r="BU55" s="66"/>
      <c r="BV55" s="66"/>
      <c r="BW55" s="66"/>
      <c r="BX55" s="90">
        <f t="shared" si="25"/>
        <v>0</v>
      </c>
      <c r="BY55" s="90">
        <v>0</v>
      </c>
      <c r="BZ55" s="90"/>
      <c r="CA55" s="90"/>
      <c r="CB55" s="90"/>
      <c r="CC55" s="91"/>
      <c r="CD55" s="91"/>
      <c r="CE55" s="49"/>
      <c r="CF55" s="66">
        <f t="shared" si="17"/>
        <v>0</v>
      </c>
      <c r="CG55" s="49"/>
      <c r="CH55" s="66"/>
      <c r="CI55" s="51">
        <f t="shared" si="10"/>
        <v>2391690</v>
      </c>
      <c r="CJ55" s="81"/>
      <c r="CK55" s="367"/>
      <c r="CL55" s="367"/>
      <c r="CM55" s="81"/>
      <c r="CN55" s="367"/>
      <c r="CO55" s="367"/>
      <c r="CP55" s="1486"/>
      <c r="CQ55" s="1486"/>
      <c r="CR55" s="367"/>
      <c r="CS55" s="1486"/>
      <c r="CT55" s="1485"/>
      <c r="CU55" s="1485">
        <f t="shared" si="11"/>
        <v>0</v>
      </c>
      <c r="CV55" s="1486"/>
      <c r="CW55" s="1486"/>
      <c r="CX55" s="1486"/>
      <c r="CY55" s="1486"/>
      <c r="CZ55" s="1486"/>
    </row>
    <row r="56" spans="1:104" s="67" customFormat="1" ht="31.15" customHeight="1">
      <c r="A56" s="1130" t="s">
        <v>684</v>
      </c>
      <c r="B56" s="1131" t="s">
        <v>1095</v>
      </c>
      <c r="C56" s="44"/>
      <c r="D56" s="44"/>
      <c r="E56" s="44"/>
      <c r="F56" s="415">
        <f>'дод1.1'!C36</f>
        <v>2611379</v>
      </c>
      <c r="G56" s="415"/>
      <c r="H56" s="415">
        <f t="shared" si="0"/>
        <v>2611379</v>
      </c>
      <c r="I56" s="66">
        <v>1962300</v>
      </c>
      <c r="J56" s="49"/>
      <c r="K56" s="49"/>
      <c r="L56" s="49"/>
      <c r="M56" s="49"/>
      <c r="N56" s="66"/>
      <c r="O56" s="66"/>
      <c r="P56" s="49"/>
      <c r="Q56" s="66">
        <f t="shared" si="1"/>
        <v>250000</v>
      </c>
      <c r="R56" s="66">
        <v>250000</v>
      </c>
      <c r="S56" s="66"/>
      <c r="T56" s="66">
        <f t="shared" si="2"/>
        <v>0</v>
      </c>
      <c r="U56" s="66"/>
      <c r="V56" s="66"/>
      <c r="W56" s="51"/>
      <c r="X56" s="66">
        <f t="shared" si="3"/>
        <v>7300</v>
      </c>
      <c r="Y56" s="66">
        <v>7300</v>
      </c>
      <c r="Z56" s="66"/>
      <c r="AA56" s="66">
        <v>47100</v>
      </c>
      <c r="AB56" s="49"/>
      <c r="AC56" s="49"/>
      <c r="AD56" s="90">
        <f t="shared" si="4"/>
        <v>0</v>
      </c>
      <c r="AE56" s="66"/>
      <c r="AF56" s="49"/>
      <c r="AG56" s="49"/>
      <c r="AH56" s="90">
        <f t="shared" si="5"/>
        <v>0</v>
      </c>
      <c r="AI56" s="66">
        <v>0</v>
      </c>
      <c r="AJ56" s="66"/>
      <c r="AK56" s="66"/>
      <c r="AL56" s="66"/>
      <c r="AM56" s="66"/>
      <c r="AN56" s="66"/>
      <c r="AO56" s="66"/>
      <c r="AP56" s="90">
        <f t="shared" si="6"/>
        <v>170090</v>
      </c>
      <c r="AQ56" s="66">
        <v>44040</v>
      </c>
      <c r="AR56" s="66">
        <v>62000</v>
      </c>
      <c r="AS56" s="66">
        <v>60750</v>
      </c>
      <c r="AT56" s="66">
        <v>3300</v>
      </c>
      <c r="AU56" s="66"/>
      <c r="AV56" s="66"/>
      <c r="AW56" s="66"/>
      <c r="AX56" s="66"/>
      <c r="AY56" s="51"/>
      <c r="AZ56" s="66"/>
      <c r="BA56" s="66"/>
      <c r="BB56" s="49"/>
      <c r="BC56" s="66"/>
      <c r="BD56" s="66"/>
      <c r="BE56" s="49"/>
      <c r="BF56" s="49"/>
      <c r="BG56" s="66"/>
      <c r="BH56" s="90">
        <f t="shared" si="7"/>
        <v>0</v>
      </c>
      <c r="BI56" s="90">
        <v>0</v>
      </c>
      <c r="BJ56" s="49"/>
      <c r="BK56" s="49"/>
      <c r="BL56" s="49"/>
      <c r="BM56" s="49"/>
      <c r="BN56" s="49"/>
      <c r="BO56" s="49"/>
      <c r="BP56" s="49"/>
      <c r="BQ56" s="66">
        <f t="shared" si="8"/>
        <v>0</v>
      </c>
      <c r="BR56" s="49"/>
      <c r="BS56" s="49"/>
      <c r="BT56" s="66"/>
      <c r="BU56" s="66"/>
      <c r="BV56" s="66"/>
      <c r="BW56" s="66"/>
      <c r="BX56" s="90">
        <f t="shared" si="25"/>
        <v>0</v>
      </c>
      <c r="BY56" s="90">
        <v>0</v>
      </c>
      <c r="BZ56" s="90"/>
      <c r="CA56" s="90"/>
      <c r="CB56" s="90"/>
      <c r="CC56" s="91"/>
      <c r="CD56" s="91"/>
      <c r="CE56" s="49"/>
      <c r="CF56" s="66">
        <f t="shared" si="17"/>
        <v>0</v>
      </c>
      <c r="CG56" s="49"/>
      <c r="CH56" s="66"/>
      <c r="CI56" s="51">
        <f t="shared" si="10"/>
        <v>2436790</v>
      </c>
      <c r="CJ56" s="81"/>
      <c r="CK56" s="367"/>
      <c r="CL56" s="367"/>
      <c r="CM56" s="81"/>
      <c r="CN56" s="367"/>
      <c r="CO56" s="367"/>
      <c r="CP56" s="1486"/>
      <c r="CQ56" s="1486"/>
      <c r="CR56" s="367"/>
      <c r="CS56" s="1486"/>
      <c r="CT56" s="1485"/>
      <c r="CU56" s="1485">
        <f t="shared" si="11"/>
        <v>0</v>
      </c>
      <c r="CV56" s="1486"/>
      <c r="CW56" s="1486"/>
      <c r="CX56" s="1486"/>
      <c r="CY56" s="1486"/>
      <c r="CZ56" s="1486"/>
    </row>
    <row r="57" spans="1:104" s="67" customFormat="1" ht="31.15" customHeight="1">
      <c r="A57" s="1130" t="s">
        <v>685</v>
      </c>
      <c r="B57" s="1131" t="s">
        <v>1096</v>
      </c>
      <c r="C57" s="44"/>
      <c r="D57" s="1186">
        <f>'дод 1.2'!D1955</f>
        <v>0</v>
      </c>
      <c r="E57" s="44"/>
      <c r="F57" s="415"/>
      <c r="G57" s="415">
        <f>'дод 1.2'!E1955</f>
        <v>585000</v>
      </c>
      <c r="H57" s="415">
        <f t="shared" si="0"/>
        <v>585000</v>
      </c>
      <c r="I57" s="66">
        <v>2186400</v>
      </c>
      <c r="J57" s="49"/>
      <c r="K57" s="49"/>
      <c r="L57" s="49"/>
      <c r="M57" s="49"/>
      <c r="N57" s="66"/>
      <c r="O57" s="66"/>
      <c r="P57" s="49"/>
      <c r="Q57" s="66">
        <f t="shared" si="1"/>
        <v>19951</v>
      </c>
      <c r="R57" s="66"/>
      <c r="S57" s="66"/>
      <c r="T57" s="66">
        <f t="shared" si="2"/>
        <v>19951</v>
      </c>
      <c r="U57" s="66">
        <v>19951</v>
      </c>
      <c r="V57" s="66"/>
      <c r="W57" s="51"/>
      <c r="X57" s="66">
        <f t="shared" si="3"/>
        <v>5200</v>
      </c>
      <c r="Y57" s="66">
        <v>5200</v>
      </c>
      <c r="Z57" s="66"/>
      <c r="AA57" s="66">
        <f>25600-8600</f>
        <v>17000</v>
      </c>
      <c r="AB57" s="49"/>
      <c r="AC57" s="49"/>
      <c r="AD57" s="90">
        <f t="shared" si="4"/>
        <v>0</v>
      </c>
      <c r="AE57" s="66"/>
      <c r="AF57" s="66"/>
      <c r="AG57" s="66"/>
      <c r="AH57" s="90">
        <f t="shared" si="5"/>
        <v>0</v>
      </c>
      <c r="AI57" s="66">
        <v>0</v>
      </c>
      <c r="AJ57" s="66"/>
      <c r="AK57" s="66"/>
      <c r="AL57" s="66"/>
      <c r="AM57" s="66"/>
      <c r="AN57" s="66"/>
      <c r="AO57" s="66"/>
      <c r="AP57" s="90">
        <f t="shared" si="6"/>
        <v>146610</v>
      </c>
      <c r="AQ57" s="66">
        <v>57810</v>
      </c>
      <c r="AR57" s="66">
        <v>65250</v>
      </c>
      <c r="AS57" s="66">
        <v>20250</v>
      </c>
      <c r="AT57" s="66">
        <v>3300</v>
      </c>
      <c r="AU57" s="66"/>
      <c r="AV57" s="66">
        <v>151300</v>
      </c>
      <c r="AW57" s="66">
        <v>151300</v>
      </c>
      <c r="AX57" s="66"/>
      <c r="AY57" s="51"/>
      <c r="AZ57" s="66"/>
      <c r="BA57" s="66"/>
      <c r="BB57" s="66"/>
      <c r="BC57" s="66"/>
      <c r="BD57" s="66"/>
      <c r="BE57" s="49"/>
      <c r="BF57" s="49"/>
      <c r="BG57" s="66"/>
      <c r="BH57" s="90">
        <f t="shared" si="7"/>
        <v>258086</v>
      </c>
      <c r="BI57" s="90">
        <f>43086+100000</f>
        <v>143086</v>
      </c>
      <c r="BJ57" s="66">
        <f>115000</f>
        <v>115000</v>
      </c>
      <c r="BK57" s="49"/>
      <c r="BL57" s="49"/>
      <c r="BM57" s="49"/>
      <c r="BN57" s="49"/>
      <c r="BO57" s="49"/>
      <c r="BP57" s="49"/>
      <c r="BQ57" s="66">
        <f t="shared" si="8"/>
        <v>0</v>
      </c>
      <c r="BR57" s="49"/>
      <c r="BS57" s="49"/>
      <c r="BT57" s="66"/>
      <c r="BU57" s="66"/>
      <c r="BV57" s="66"/>
      <c r="BW57" s="66"/>
      <c r="BX57" s="90">
        <f t="shared" si="25"/>
        <v>0</v>
      </c>
      <c r="BY57" s="90">
        <v>0</v>
      </c>
      <c r="BZ57" s="90"/>
      <c r="CA57" s="90"/>
      <c r="CB57" s="90"/>
      <c r="CC57" s="91"/>
      <c r="CD57" s="91"/>
      <c r="CE57" s="49"/>
      <c r="CF57" s="66">
        <f t="shared" si="17"/>
        <v>0</v>
      </c>
      <c r="CG57" s="49"/>
      <c r="CH57" s="66"/>
      <c r="CI57" s="51">
        <f t="shared" si="10"/>
        <v>2784547</v>
      </c>
      <c r="CJ57" s="81"/>
      <c r="CK57" s="367"/>
      <c r="CL57" s="367"/>
      <c r="CM57" s="81"/>
      <c r="CN57" s="367"/>
      <c r="CO57" s="367"/>
      <c r="CP57" s="1486"/>
      <c r="CQ57" s="1486"/>
      <c r="CR57" s="367"/>
      <c r="CS57" s="1486"/>
      <c r="CT57" s="1485"/>
      <c r="CU57" s="1485">
        <f t="shared" si="11"/>
        <v>0</v>
      </c>
      <c r="CV57" s="1486"/>
      <c r="CW57" s="1486"/>
      <c r="CX57" s="1486"/>
      <c r="CY57" s="1486"/>
      <c r="CZ57" s="1486"/>
    </row>
    <row r="58" spans="1:104" s="67" customFormat="1" ht="31.15" customHeight="1">
      <c r="A58" s="1130" t="s">
        <v>686</v>
      </c>
      <c r="B58" s="1131" t="s">
        <v>1097</v>
      </c>
      <c r="C58" s="44"/>
      <c r="D58" s="44"/>
      <c r="E58" s="44"/>
      <c r="F58" s="415"/>
      <c r="G58" s="415"/>
      <c r="H58" s="415">
        <f t="shared" si="0"/>
        <v>0</v>
      </c>
      <c r="I58" s="66">
        <v>7601900</v>
      </c>
      <c r="J58" s="49"/>
      <c r="K58" s="49"/>
      <c r="L58" s="49"/>
      <c r="M58" s="49"/>
      <c r="N58" s="66"/>
      <c r="O58" s="66"/>
      <c r="P58" s="49"/>
      <c r="Q58" s="66">
        <f t="shared" si="1"/>
        <v>800000</v>
      </c>
      <c r="R58" s="66">
        <v>800000</v>
      </c>
      <c r="S58" s="66"/>
      <c r="T58" s="66">
        <f t="shared" si="2"/>
        <v>0</v>
      </c>
      <c r="U58" s="66"/>
      <c r="V58" s="66"/>
      <c r="W58" s="51">
        <v>143750</v>
      </c>
      <c r="X58" s="66">
        <f t="shared" si="3"/>
        <v>691800</v>
      </c>
      <c r="Y58" s="66">
        <v>27700</v>
      </c>
      <c r="Z58" s="66">
        <v>664100</v>
      </c>
      <c r="AA58" s="66">
        <f>113500+21195</f>
        <v>134695</v>
      </c>
      <c r="AB58" s="49"/>
      <c r="AC58" s="49"/>
      <c r="AD58" s="90">
        <f t="shared" si="4"/>
        <v>0</v>
      </c>
      <c r="AE58" s="66"/>
      <c r="AF58" s="66"/>
      <c r="AG58" s="66"/>
      <c r="AH58" s="90">
        <f t="shared" si="5"/>
        <v>109800</v>
      </c>
      <c r="AI58" s="66">
        <v>71000</v>
      </c>
      <c r="AJ58" s="66">
        <v>23000</v>
      </c>
      <c r="AK58" s="66"/>
      <c r="AL58" s="66">
        <v>10200</v>
      </c>
      <c r="AM58" s="66">
        <v>5600</v>
      </c>
      <c r="AN58" s="66"/>
      <c r="AO58" s="66"/>
      <c r="AP58" s="90">
        <f t="shared" si="6"/>
        <v>740070</v>
      </c>
      <c r="AQ58" s="66">
        <v>195450</v>
      </c>
      <c r="AR58" s="66">
        <v>261770</v>
      </c>
      <c r="AS58" s="66">
        <v>263250</v>
      </c>
      <c r="AT58" s="66">
        <v>19600</v>
      </c>
      <c r="AU58" s="66"/>
      <c r="AV58" s="66"/>
      <c r="AW58" s="66"/>
      <c r="AX58" s="66"/>
      <c r="AY58" s="51"/>
      <c r="AZ58" s="66"/>
      <c r="BA58" s="66"/>
      <c r="BB58" s="66"/>
      <c r="BC58" s="66"/>
      <c r="BD58" s="66"/>
      <c r="BE58" s="49"/>
      <c r="BF58" s="49"/>
      <c r="BG58" s="66"/>
      <c r="BH58" s="90">
        <f t="shared" si="7"/>
        <v>99000</v>
      </c>
      <c r="BI58" s="90">
        <v>99000</v>
      </c>
      <c r="BJ58" s="66"/>
      <c r="BK58" s="49"/>
      <c r="BL58" s="49"/>
      <c r="BM58" s="49"/>
      <c r="BN58" s="49"/>
      <c r="BO58" s="49"/>
      <c r="BP58" s="49"/>
      <c r="BQ58" s="66">
        <f t="shared" si="8"/>
        <v>0</v>
      </c>
      <c r="BR58" s="49"/>
      <c r="BS58" s="49"/>
      <c r="BT58" s="66"/>
      <c r="BU58" s="66"/>
      <c r="BV58" s="66"/>
      <c r="BW58" s="66"/>
      <c r="BX58" s="90">
        <f t="shared" si="25"/>
        <v>570125</v>
      </c>
      <c r="BY58" s="90">
        <v>123112</v>
      </c>
      <c r="BZ58" s="90">
        <v>200000</v>
      </c>
      <c r="CA58" s="90"/>
      <c r="CB58" s="90">
        <v>187013</v>
      </c>
      <c r="CC58" s="91"/>
      <c r="CD58" s="91"/>
      <c r="CE58" s="49"/>
      <c r="CF58" s="66">
        <f t="shared" si="17"/>
        <v>60000</v>
      </c>
      <c r="CG58" s="66">
        <f>60000-60000</f>
        <v>0</v>
      </c>
      <c r="CH58" s="66">
        <v>60000</v>
      </c>
      <c r="CI58" s="51">
        <f t="shared" si="10"/>
        <v>10891140</v>
      </c>
      <c r="CJ58" s="81"/>
      <c r="CK58" s="367"/>
      <c r="CL58" s="367"/>
      <c r="CM58" s="81"/>
      <c r="CN58" s="367"/>
      <c r="CO58" s="367"/>
      <c r="CP58" s="1486"/>
      <c r="CQ58" s="1486"/>
      <c r="CR58" s="367"/>
      <c r="CS58" s="1486"/>
      <c r="CT58" s="1485"/>
      <c r="CU58" s="1485">
        <f t="shared" si="11"/>
        <v>0</v>
      </c>
      <c r="CV58" s="1486"/>
      <c r="CW58" s="1486"/>
      <c r="CX58" s="1486"/>
      <c r="CY58" s="1486"/>
      <c r="CZ58" s="1486"/>
    </row>
    <row r="59" spans="1:104" s="67" customFormat="1" ht="31.15" customHeight="1">
      <c r="A59" s="1130" t="s">
        <v>687</v>
      </c>
      <c r="B59" s="1131" t="s">
        <v>1098</v>
      </c>
      <c r="C59" s="44"/>
      <c r="D59" s="44"/>
      <c r="E59" s="44"/>
      <c r="F59" s="415">
        <f>'дод1.1'!C134</f>
        <v>33196</v>
      </c>
      <c r="G59" s="415">
        <f>'дод 1.2'!E1894</f>
        <v>585000</v>
      </c>
      <c r="H59" s="415">
        <f t="shared" si="0"/>
        <v>618196</v>
      </c>
      <c r="I59" s="66">
        <v>10275500</v>
      </c>
      <c r="J59" s="49"/>
      <c r="K59" s="49"/>
      <c r="L59" s="49"/>
      <c r="M59" s="49"/>
      <c r="N59" s="66"/>
      <c r="O59" s="66"/>
      <c r="P59" s="49"/>
      <c r="Q59" s="66">
        <f t="shared" si="1"/>
        <v>462860</v>
      </c>
      <c r="R59" s="66">
        <v>250000</v>
      </c>
      <c r="S59" s="66">
        <v>132860</v>
      </c>
      <c r="T59" s="66">
        <f t="shared" si="2"/>
        <v>80000</v>
      </c>
      <c r="U59" s="66">
        <v>65000</v>
      </c>
      <c r="V59" s="66">
        <v>15000</v>
      </c>
      <c r="W59" s="51"/>
      <c r="X59" s="66">
        <f t="shared" si="3"/>
        <v>132500</v>
      </c>
      <c r="Y59" s="66">
        <v>132500</v>
      </c>
      <c r="Z59" s="66"/>
      <c r="AA59" s="66"/>
      <c r="AB59" s="49"/>
      <c r="AC59" s="49"/>
      <c r="AD59" s="90">
        <f t="shared" si="4"/>
        <v>1148160</v>
      </c>
      <c r="AE59" s="66">
        <v>1040760</v>
      </c>
      <c r="AF59" s="49"/>
      <c r="AG59" s="66">
        <f>158799-51399</f>
        <v>107400</v>
      </c>
      <c r="AH59" s="90">
        <f t="shared" si="5"/>
        <v>384900</v>
      </c>
      <c r="AI59" s="66">
        <v>195200</v>
      </c>
      <c r="AJ59" s="66">
        <v>63300</v>
      </c>
      <c r="AK59" s="66"/>
      <c r="AL59" s="66">
        <v>81800</v>
      </c>
      <c r="AM59" s="66">
        <v>44600</v>
      </c>
      <c r="AN59" s="66"/>
      <c r="AO59" s="66"/>
      <c r="AP59" s="90">
        <f t="shared" si="6"/>
        <v>828030</v>
      </c>
      <c r="AQ59" s="66">
        <v>200950</v>
      </c>
      <c r="AR59" s="66">
        <v>408780</v>
      </c>
      <c r="AS59" s="66">
        <v>202500</v>
      </c>
      <c r="AT59" s="66">
        <v>15800</v>
      </c>
      <c r="AU59" s="66"/>
      <c r="AV59" s="66">
        <v>870000</v>
      </c>
      <c r="AW59" s="66">
        <v>870000</v>
      </c>
      <c r="AX59" s="66"/>
      <c r="AY59" s="51"/>
      <c r="AZ59" s="66"/>
      <c r="BA59" s="66"/>
      <c r="BB59" s="49"/>
      <c r="BC59" s="66"/>
      <c r="BD59" s="66"/>
      <c r="BE59" s="49"/>
      <c r="BF59" s="49"/>
      <c r="BG59" s="66"/>
      <c r="BH59" s="90">
        <f t="shared" si="7"/>
        <v>0</v>
      </c>
      <c r="BI59" s="90">
        <v>0</v>
      </c>
      <c r="BJ59" s="66"/>
      <c r="BK59" s="49"/>
      <c r="BL59" s="49"/>
      <c r="BM59" s="49"/>
      <c r="BN59" s="49"/>
      <c r="BO59" s="49"/>
      <c r="BP59" s="49"/>
      <c r="BQ59" s="66">
        <f t="shared" si="8"/>
        <v>0</v>
      </c>
      <c r="BR59" s="49"/>
      <c r="BS59" s="49"/>
      <c r="BT59" s="66"/>
      <c r="BU59" s="66"/>
      <c r="BV59" s="66"/>
      <c r="BW59" s="66"/>
      <c r="BX59" s="90">
        <f t="shared" si="25"/>
        <v>462000</v>
      </c>
      <c r="BY59" s="90">
        <v>177000</v>
      </c>
      <c r="BZ59" s="90">
        <v>60000</v>
      </c>
      <c r="CA59" s="90"/>
      <c r="CB59" s="90"/>
      <c r="CC59" s="91"/>
      <c r="CD59" s="91"/>
      <c r="CE59" s="49"/>
      <c r="CF59" s="66">
        <f t="shared" si="17"/>
        <v>225000</v>
      </c>
      <c r="CG59" s="66">
        <v>75000</v>
      </c>
      <c r="CH59" s="66">
        <v>150000</v>
      </c>
      <c r="CI59" s="51">
        <f t="shared" si="10"/>
        <v>14563950</v>
      </c>
      <c r="CJ59" s="81"/>
      <c r="CK59" s="367"/>
      <c r="CL59" s="367"/>
      <c r="CM59" s="81"/>
      <c r="CN59" s="367"/>
      <c r="CO59" s="367"/>
      <c r="CP59" s="1486"/>
      <c r="CQ59" s="1486"/>
      <c r="CR59" s="367"/>
      <c r="CS59" s="1486"/>
      <c r="CT59" s="1485"/>
      <c r="CU59" s="1485">
        <f t="shared" si="11"/>
        <v>0</v>
      </c>
      <c r="CV59" s="1486"/>
      <c r="CW59" s="1486"/>
      <c r="CX59" s="1486"/>
      <c r="CY59" s="1486"/>
      <c r="CZ59" s="1486"/>
    </row>
    <row r="60" spans="1:104" s="67" customFormat="1" ht="31.15" customHeight="1">
      <c r="A60" s="1130" t="s">
        <v>688</v>
      </c>
      <c r="B60" s="1131" t="s">
        <v>1099</v>
      </c>
      <c r="C60" s="44"/>
      <c r="D60" s="44"/>
      <c r="E60" s="44"/>
      <c r="F60" s="415">
        <f>'дод1.1'!E76</f>
        <v>2340064</v>
      </c>
      <c r="G60" s="415">
        <f>'дод 1.2'!E1797</f>
        <v>56000</v>
      </c>
      <c r="H60" s="415">
        <f t="shared" si="0"/>
        <v>2396064</v>
      </c>
      <c r="I60" s="66">
        <v>14316200</v>
      </c>
      <c r="J60" s="49"/>
      <c r="K60" s="49"/>
      <c r="L60" s="49"/>
      <c r="M60" s="49"/>
      <c r="N60" s="66"/>
      <c r="O60" s="66"/>
      <c r="P60" s="49"/>
      <c r="Q60" s="66">
        <f t="shared" si="1"/>
        <v>1882860</v>
      </c>
      <c r="R60" s="66">
        <v>1750000</v>
      </c>
      <c r="S60" s="66">
        <v>132860</v>
      </c>
      <c r="T60" s="66">
        <f t="shared" si="2"/>
        <v>0</v>
      </c>
      <c r="U60" s="66"/>
      <c r="V60" s="66"/>
      <c r="W60" s="51">
        <v>107200</v>
      </c>
      <c r="X60" s="66">
        <f t="shared" si="3"/>
        <v>568800</v>
      </c>
      <c r="Y60" s="66">
        <v>35200</v>
      </c>
      <c r="Z60" s="66">
        <v>533600</v>
      </c>
      <c r="AA60" s="66">
        <v>233300</v>
      </c>
      <c r="AB60" s="49"/>
      <c r="AC60" s="49"/>
      <c r="AD60" s="90">
        <f t="shared" si="4"/>
        <v>1040760</v>
      </c>
      <c r="AE60" s="66">
        <v>1040760</v>
      </c>
      <c r="AF60" s="49"/>
      <c r="AG60" s="49"/>
      <c r="AH60" s="90">
        <f t="shared" si="5"/>
        <v>720800</v>
      </c>
      <c r="AI60" s="66">
        <v>532200</v>
      </c>
      <c r="AJ60" s="66">
        <v>172800</v>
      </c>
      <c r="AK60" s="66"/>
      <c r="AL60" s="66">
        <v>10200</v>
      </c>
      <c r="AM60" s="66">
        <v>5600</v>
      </c>
      <c r="AN60" s="66"/>
      <c r="AO60" s="66"/>
      <c r="AP60" s="90">
        <f t="shared" si="6"/>
        <v>1415310</v>
      </c>
      <c r="AQ60" s="66">
        <v>327580</v>
      </c>
      <c r="AR60" s="66">
        <v>484530</v>
      </c>
      <c r="AS60" s="66">
        <v>567000</v>
      </c>
      <c r="AT60" s="66">
        <v>36200</v>
      </c>
      <c r="AU60" s="66"/>
      <c r="AV60" s="66">
        <v>2367228</v>
      </c>
      <c r="AW60" s="66">
        <v>2367228</v>
      </c>
      <c r="AX60" s="66"/>
      <c r="AY60" s="51"/>
      <c r="AZ60" s="66"/>
      <c r="BA60" s="66"/>
      <c r="BB60" s="49"/>
      <c r="BC60" s="66"/>
      <c r="BD60" s="66"/>
      <c r="BE60" s="49"/>
      <c r="BF60" s="49"/>
      <c r="BG60" s="66"/>
      <c r="BH60" s="90">
        <f t="shared" si="7"/>
        <v>300722</v>
      </c>
      <c r="BI60" s="90">
        <v>195722</v>
      </c>
      <c r="BJ60" s="66">
        <f>40000+65000</f>
        <v>105000</v>
      </c>
      <c r="BK60" s="49"/>
      <c r="BL60" s="49"/>
      <c r="BM60" s="49"/>
      <c r="BN60" s="49"/>
      <c r="BO60" s="49"/>
      <c r="BP60" s="49"/>
      <c r="BQ60" s="66">
        <f t="shared" si="8"/>
        <v>0</v>
      </c>
      <c r="BR60" s="49"/>
      <c r="BS60" s="49"/>
      <c r="BT60" s="66"/>
      <c r="BU60" s="66"/>
      <c r="BV60" s="66"/>
      <c r="BW60" s="66">
        <v>500000</v>
      </c>
      <c r="BX60" s="90">
        <f>SUM(BY60:CF60)</f>
        <v>2449000</v>
      </c>
      <c r="BY60" s="90">
        <v>394000</v>
      </c>
      <c r="BZ60" s="90">
        <f>1860000+35000</f>
        <v>1895000</v>
      </c>
      <c r="CA60" s="90"/>
      <c r="CB60" s="90"/>
      <c r="CC60" s="91"/>
      <c r="CD60" s="90"/>
      <c r="CE60" s="49"/>
      <c r="CF60" s="66">
        <f t="shared" si="17"/>
        <v>160000</v>
      </c>
      <c r="CG60" s="66"/>
      <c r="CH60" s="66">
        <v>160000</v>
      </c>
      <c r="CI60" s="51">
        <f t="shared" si="10"/>
        <v>25902180</v>
      </c>
      <c r="CJ60" s="81"/>
      <c r="CK60" s="367"/>
      <c r="CL60" s="367"/>
      <c r="CM60" s="81"/>
      <c r="CN60" s="367"/>
      <c r="CO60" s="367"/>
      <c r="CP60" s="1486"/>
      <c r="CQ60" s="1486"/>
      <c r="CR60" s="367"/>
      <c r="CS60" s="1486"/>
      <c r="CT60" s="1485"/>
      <c r="CU60" s="1485">
        <f t="shared" si="11"/>
        <v>0</v>
      </c>
      <c r="CV60" s="1486"/>
      <c r="CW60" s="1486"/>
      <c r="CX60" s="1486"/>
      <c r="CY60" s="1486"/>
      <c r="CZ60" s="1486"/>
    </row>
    <row r="61" spans="1:104" s="67" customFormat="1" ht="31.15" customHeight="1">
      <c r="A61" s="1130" t="s">
        <v>689</v>
      </c>
      <c r="B61" s="1131" t="s">
        <v>1100</v>
      </c>
      <c r="C61" s="44"/>
      <c r="D61" s="44"/>
      <c r="E61" s="44"/>
      <c r="F61" s="415"/>
      <c r="G61" s="415"/>
      <c r="H61" s="415">
        <f t="shared" si="0"/>
        <v>0</v>
      </c>
      <c r="I61" s="66">
        <v>4742800</v>
      </c>
      <c r="J61" s="49"/>
      <c r="K61" s="49"/>
      <c r="L61" s="49"/>
      <c r="M61" s="49"/>
      <c r="N61" s="66"/>
      <c r="O61" s="66"/>
      <c r="P61" s="49"/>
      <c r="Q61" s="66">
        <f t="shared" si="1"/>
        <v>750000</v>
      </c>
      <c r="R61" s="66">
        <v>750000</v>
      </c>
      <c r="S61" s="66"/>
      <c r="T61" s="66">
        <f t="shared" si="2"/>
        <v>0</v>
      </c>
      <c r="U61" s="66"/>
      <c r="V61" s="66"/>
      <c r="W61" s="51">
        <v>64970</v>
      </c>
      <c r="X61" s="66">
        <f t="shared" si="3"/>
        <v>359700</v>
      </c>
      <c r="Y61" s="66">
        <v>60300</v>
      </c>
      <c r="Z61" s="66">
        <v>299400</v>
      </c>
      <c r="AA61" s="66">
        <v>107400</v>
      </c>
      <c r="AB61" s="49"/>
      <c r="AC61" s="49"/>
      <c r="AD61" s="90">
        <f t="shared" si="4"/>
        <v>994960</v>
      </c>
      <c r="AE61" s="66">
        <f>1040760-45800</f>
        <v>994960</v>
      </c>
      <c r="AF61" s="49"/>
      <c r="AG61" s="49"/>
      <c r="AH61" s="90">
        <f t="shared" si="5"/>
        <v>235000</v>
      </c>
      <c r="AI61" s="66">
        <v>177400</v>
      </c>
      <c r="AJ61" s="66">
        <v>57600</v>
      </c>
      <c r="AK61" s="66"/>
      <c r="AL61" s="66"/>
      <c r="AM61" s="66"/>
      <c r="AN61" s="66"/>
      <c r="AO61" s="66"/>
      <c r="AP61" s="90">
        <f t="shared" si="6"/>
        <v>500440</v>
      </c>
      <c r="AQ61" s="66">
        <v>123880</v>
      </c>
      <c r="AR61" s="66">
        <v>160760</v>
      </c>
      <c r="AS61" s="66">
        <v>202500</v>
      </c>
      <c r="AT61" s="66">
        <v>13300</v>
      </c>
      <c r="AU61" s="66"/>
      <c r="AV61" s="66">
        <v>26500</v>
      </c>
      <c r="AW61" s="66">
        <v>26500</v>
      </c>
      <c r="AX61" s="66"/>
      <c r="AY61" s="51"/>
      <c r="AZ61" s="66"/>
      <c r="BA61" s="66"/>
      <c r="BB61" s="49"/>
      <c r="BC61" s="66"/>
      <c r="BD61" s="66"/>
      <c r="BE61" s="49"/>
      <c r="BF61" s="49"/>
      <c r="BG61" s="66"/>
      <c r="BH61" s="90">
        <f t="shared" si="7"/>
        <v>4000</v>
      </c>
      <c r="BI61" s="90">
        <v>4000</v>
      </c>
      <c r="BJ61" s="66"/>
      <c r="BK61" s="49"/>
      <c r="BL61" s="49"/>
      <c r="BM61" s="49"/>
      <c r="BN61" s="49"/>
      <c r="BO61" s="49"/>
      <c r="BP61" s="49"/>
      <c r="BQ61" s="66">
        <f t="shared" si="8"/>
        <v>0</v>
      </c>
      <c r="BR61" s="49"/>
      <c r="BS61" s="49"/>
      <c r="BT61" s="66"/>
      <c r="BU61" s="66"/>
      <c r="BV61" s="66"/>
      <c r="BW61" s="66"/>
      <c r="BX61" s="90">
        <f t="shared" si="25"/>
        <v>300000</v>
      </c>
      <c r="BY61" s="90">
        <v>0</v>
      </c>
      <c r="BZ61" s="90"/>
      <c r="CA61" s="90"/>
      <c r="CB61" s="90"/>
      <c r="CC61" s="91"/>
      <c r="CD61" s="91"/>
      <c r="CE61" s="49"/>
      <c r="CF61" s="66">
        <f t="shared" si="17"/>
        <v>300000</v>
      </c>
      <c r="CG61" s="49"/>
      <c r="CH61" s="66">
        <v>300000</v>
      </c>
      <c r="CI61" s="51">
        <f t="shared" si="10"/>
        <v>8085770</v>
      </c>
      <c r="CJ61" s="81"/>
      <c r="CK61" s="367"/>
      <c r="CL61" s="367"/>
      <c r="CM61" s="81"/>
      <c r="CN61" s="367"/>
      <c r="CO61" s="367"/>
      <c r="CP61" s="1486"/>
      <c r="CQ61" s="1486"/>
      <c r="CR61" s="367"/>
      <c r="CS61" s="1486"/>
      <c r="CT61" s="1485"/>
      <c r="CU61" s="1485">
        <f t="shared" si="11"/>
        <v>0</v>
      </c>
      <c r="CV61" s="1486"/>
      <c r="CW61" s="1486"/>
      <c r="CX61" s="1486"/>
      <c r="CY61" s="1486"/>
      <c r="CZ61" s="1486"/>
    </row>
    <row r="62" spans="1:104" s="67" customFormat="1" ht="31.15" customHeight="1">
      <c r="A62" s="1130" t="s">
        <v>690</v>
      </c>
      <c r="B62" s="1131" t="s">
        <v>1101</v>
      </c>
      <c r="C62" s="44"/>
      <c r="D62" s="44"/>
      <c r="E62" s="44"/>
      <c r="F62" s="415">
        <f>'дод1.1'!E113</f>
        <v>428650</v>
      </c>
      <c r="G62" s="415">
        <f>'дод 1.2'!E1823</f>
        <v>585000</v>
      </c>
      <c r="H62" s="415">
        <f t="shared" si="0"/>
        <v>1013650</v>
      </c>
      <c r="I62" s="66">
        <v>2699100</v>
      </c>
      <c r="J62" s="49"/>
      <c r="K62" s="49"/>
      <c r="L62" s="49"/>
      <c r="M62" s="49"/>
      <c r="N62" s="66"/>
      <c r="O62" s="66"/>
      <c r="P62" s="49"/>
      <c r="Q62" s="66">
        <f t="shared" si="1"/>
        <v>132860</v>
      </c>
      <c r="R62" s="66"/>
      <c r="S62" s="66">
        <v>132860</v>
      </c>
      <c r="T62" s="66">
        <f t="shared" si="2"/>
        <v>0</v>
      </c>
      <c r="U62" s="66"/>
      <c r="V62" s="66"/>
      <c r="W62" s="51"/>
      <c r="X62" s="66">
        <f t="shared" si="3"/>
        <v>10200</v>
      </c>
      <c r="Y62" s="66">
        <v>10200</v>
      </c>
      <c r="Z62" s="66"/>
      <c r="AA62" s="66"/>
      <c r="AB62" s="49"/>
      <c r="AC62" s="49"/>
      <c r="AD62" s="90">
        <f t="shared" si="4"/>
        <v>884960</v>
      </c>
      <c r="AE62" s="66">
        <f>1040760-155800</f>
        <v>884960</v>
      </c>
      <c r="AF62" s="49"/>
      <c r="AG62" s="49"/>
      <c r="AH62" s="90">
        <f t="shared" si="5"/>
        <v>117500</v>
      </c>
      <c r="AI62" s="66">
        <v>88700</v>
      </c>
      <c r="AJ62" s="66">
        <v>28800</v>
      </c>
      <c r="AK62" s="66"/>
      <c r="AL62" s="66"/>
      <c r="AM62" s="66"/>
      <c r="AN62" s="66"/>
      <c r="AO62" s="66"/>
      <c r="AP62" s="90">
        <f t="shared" si="6"/>
        <v>167560</v>
      </c>
      <c r="AQ62" s="66">
        <v>46800</v>
      </c>
      <c r="AR62" s="66">
        <v>77260</v>
      </c>
      <c r="AS62" s="66">
        <v>40500</v>
      </c>
      <c r="AT62" s="66">
        <v>3000</v>
      </c>
      <c r="AU62" s="66"/>
      <c r="AV62" s="66"/>
      <c r="AW62" s="66"/>
      <c r="AX62" s="66"/>
      <c r="AY62" s="51"/>
      <c r="AZ62" s="66"/>
      <c r="BA62" s="66"/>
      <c r="BB62" s="49"/>
      <c r="BC62" s="66">
        <v>133200</v>
      </c>
      <c r="BD62" s="66"/>
      <c r="BE62" s="49"/>
      <c r="BF62" s="49"/>
      <c r="BG62" s="66"/>
      <c r="BH62" s="90">
        <f t="shared" si="7"/>
        <v>150000</v>
      </c>
      <c r="BI62" s="90">
        <v>150000</v>
      </c>
      <c r="BJ62" s="66"/>
      <c r="BK62" s="49"/>
      <c r="BL62" s="49"/>
      <c r="BM62" s="49"/>
      <c r="BN62" s="49"/>
      <c r="BO62" s="49"/>
      <c r="BP62" s="49"/>
      <c r="BQ62" s="66">
        <f t="shared" si="8"/>
        <v>0</v>
      </c>
      <c r="BR62" s="49"/>
      <c r="BS62" s="49"/>
      <c r="BT62" s="66"/>
      <c r="BU62" s="66"/>
      <c r="BV62" s="66"/>
      <c r="BW62" s="66"/>
      <c r="BX62" s="90">
        <f t="shared" si="25"/>
        <v>0</v>
      </c>
      <c r="BY62" s="90">
        <v>0</v>
      </c>
      <c r="BZ62" s="90"/>
      <c r="CA62" s="90"/>
      <c r="CB62" s="90"/>
      <c r="CC62" s="91"/>
      <c r="CD62" s="91"/>
      <c r="CE62" s="66"/>
      <c r="CF62" s="66">
        <f t="shared" si="17"/>
        <v>0</v>
      </c>
      <c r="CG62" s="49"/>
      <c r="CH62" s="66"/>
      <c r="CI62" s="51">
        <f t="shared" si="10"/>
        <v>4295380</v>
      </c>
      <c r="CJ62" s="81"/>
      <c r="CK62" s="367"/>
      <c r="CL62" s="367"/>
      <c r="CM62" s="81"/>
      <c r="CN62" s="367"/>
      <c r="CO62" s="367"/>
      <c r="CP62" s="1486"/>
      <c r="CQ62" s="1486"/>
      <c r="CR62" s="367"/>
      <c r="CS62" s="1486"/>
      <c r="CT62" s="1485"/>
      <c r="CU62" s="1485">
        <f t="shared" si="11"/>
        <v>0</v>
      </c>
      <c r="CV62" s="1486"/>
      <c r="CW62" s="1486"/>
      <c r="CX62" s="1486"/>
      <c r="CY62" s="1486"/>
      <c r="CZ62" s="1486"/>
    </row>
    <row r="63" spans="1:104" s="67" customFormat="1" ht="31.15" customHeight="1">
      <c r="A63" s="1130" t="s">
        <v>691</v>
      </c>
      <c r="B63" s="1131" t="s">
        <v>1102</v>
      </c>
      <c r="C63" s="44"/>
      <c r="D63" s="44"/>
      <c r="E63" s="44"/>
      <c r="F63" s="415"/>
      <c r="G63" s="415">
        <f>'дод 1.2'!E1925</f>
        <v>14000</v>
      </c>
      <c r="H63" s="415">
        <f t="shared" si="0"/>
        <v>14000</v>
      </c>
      <c r="I63" s="66">
        <v>2048000</v>
      </c>
      <c r="J63" s="49"/>
      <c r="K63" s="49"/>
      <c r="L63" s="49"/>
      <c r="M63" s="49"/>
      <c r="N63" s="66"/>
      <c r="O63" s="66"/>
      <c r="P63" s="49"/>
      <c r="Q63" s="66">
        <f t="shared" si="1"/>
        <v>682860</v>
      </c>
      <c r="R63" s="66">
        <v>550000</v>
      </c>
      <c r="S63" s="66">
        <v>132860</v>
      </c>
      <c r="T63" s="66">
        <f t="shared" si="2"/>
        <v>0</v>
      </c>
      <c r="U63" s="66"/>
      <c r="V63" s="66"/>
      <c r="W63" s="51"/>
      <c r="X63" s="66">
        <f t="shared" si="3"/>
        <v>4400</v>
      </c>
      <c r="Y63" s="66">
        <v>4400</v>
      </c>
      <c r="Z63" s="66"/>
      <c r="AA63" s="66">
        <v>47100</v>
      </c>
      <c r="AB63" s="49"/>
      <c r="AC63" s="49"/>
      <c r="AD63" s="90">
        <f t="shared" si="4"/>
        <v>884960</v>
      </c>
      <c r="AE63" s="66">
        <f>1040760-155800</f>
        <v>884960</v>
      </c>
      <c r="AF63" s="49"/>
      <c r="AG63" s="49"/>
      <c r="AH63" s="90">
        <f t="shared" si="5"/>
        <v>62800</v>
      </c>
      <c r="AI63" s="66">
        <v>35500</v>
      </c>
      <c r="AJ63" s="66">
        <v>11500</v>
      </c>
      <c r="AK63" s="66"/>
      <c r="AL63" s="66">
        <v>10200</v>
      </c>
      <c r="AM63" s="66">
        <v>5600</v>
      </c>
      <c r="AN63" s="66"/>
      <c r="AO63" s="66"/>
      <c r="AP63" s="90">
        <f t="shared" si="6"/>
        <v>151740</v>
      </c>
      <c r="AQ63" s="66">
        <v>35790</v>
      </c>
      <c r="AR63" s="66">
        <v>73250</v>
      </c>
      <c r="AS63" s="66">
        <v>40500</v>
      </c>
      <c r="AT63" s="66">
        <v>2200</v>
      </c>
      <c r="AU63" s="66"/>
      <c r="AV63" s="66">
        <v>919855</v>
      </c>
      <c r="AW63" s="66">
        <v>919855</v>
      </c>
      <c r="AX63" s="66"/>
      <c r="AY63" s="51"/>
      <c r="AZ63" s="66"/>
      <c r="BA63" s="66"/>
      <c r="BB63" s="49"/>
      <c r="BC63" s="66"/>
      <c r="BD63" s="66"/>
      <c r="BE63" s="49"/>
      <c r="BF63" s="49"/>
      <c r="BG63" s="66"/>
      <c r="BH63" s="90">
        <f t="shared" si="7"/>
        <v>0</v>
      </c>
      <c r="BI63" s="90">
        <v>0</v>
      </c>
      <c r="BJ63" s="66"/>
      <c r="BK63" s="49"/>
      <c r="BL63" s="49"/>
      <c r="BM63" s="49"/>
      <c r="BN63" s="49"/>
      <c r="BO63" s="49"/>
      <c r="BP63" s="49"/>
      <c r="BQ63" s="66">
        <f t="shared" si="8"/>
        <v>0</v>
      </c>
      <c r="BR63" s="49"/>
      <c r="BS63" s="49"/>
      <c r="BT63" s="66"/>
      <c r="BU63" s="66"/>
      <c r="BV63" s="66"/>
      <c r="BW63" s="66"/>
      <c r="BX63" s="90">
        <f t="shared" si="25"/>
        <v>0</v>
      </c>
      <c r="BY63" s="90">
        <v>0</v>
      </c>
      <c r="BZ63" s="90"/>
      <c r="CA63" s="90"/>
      <c r="CB63" s="90"/>
      <c r="CC63" s="91"/>
      <c r="CD63" s="91"/>
      <c r="CE63" s="49"/>
      <c r="CF63" s="66">
        <f t="shared" si="17"/>
        <v>0</v>
      </c>
      <c r="CG63" s="49"/>
      <c r="CH63" s="66"/>
      <c r="CI63" s="51">
        <f t="shared" si="10"/>
        <v>4801715</v>
      </c>
      <c r="CJ63" s="81"/>
      <c r="CK63" s="367"/>
      <c r="CL63" s="367"/>
      <c r="CM63" s="81"/>
      <c r="CN63" s="367"/>
      <c r="CO63" s="367"/>
      <c r="CP63" s="1486"/>
      <c r="CQ63" s="1486"/>
      <c r="CR63" s="367"/>
      <c r="CS63" s="1486"/>
      <c r="CT63" s="1485"/>
      <c r="CU63" s="1485">
        <f t="shared" si="11"/>
        <v>0</v>
      </c>
      <c r="CV63" s="1486"/>
      <c r="CW63" s="1486"/>
      <c r="CX63" s="1486"/>
      <c r="CY63" s="1486"/>
      <c r="CZ63" s="1486"/>
    </row>
    <row r="64" spans="1:104" s="67" customFormat="1" ht="31.15" customHeight="1">
      <c r="A64" s="1130" t="s">
        <v>692</v>
      </c>
      <c r="B64" s="1131" t="s">
        <v>1103</v>
      </c>
      <c r="C64" s="44"/>
      <c r="D64" s="44"/>
      <c r="E64" s="44"/>
      <c r="F64" s="415"/>
      <c r="G64" s="415"/>
      <c r="H64" s="415">
        <f t="shared" si="0"/>
        <v>0</v>
      </c>
      <c r="I64" s="66">
        <v>4559200</v>
      </c>
      <c r="J64" s="49"/>
      <c r="K64" s="49"/>
      <c r="L64" s="49"/>
      <c r="M64" s="49"/>
      <c r="N64" s="66"/>
      <c r="O64" s="66"/>
      <c r="P64" s="49"/>
      <c r="Q64" s="66">
        <f t="shared" si="1"/>
        <v>0</v>
      </c>
      <c r="R64" s="66"/>
      <c r="S64" s="66"/>
      <c r="T64" s="66">
        <f t="shared" si="2"/>
        <v>0</v>
      </c>
      <c r="U64" s="66"/>
      <c r="V64" s="66"/>
      <c r="W64" s="51"/>
      <c r="X64" s="66">
        <f t="shared" si="3"/>
        <v>8400</v>
      </c>
      <c r="Y64" s="66">
        <v>8400</v>
      </c>
      <c r="Z64" s="66"/>
      <c r="AA64" s="66">
        <f>94400+4894</f>
        <v>99294</v>
      </c>
      <c r="AB64" s="49"/>
      <c r="AC64" s="49"/>
      <c r="AD64" s="90">
        <f t="shared" si="4"/>
        <v>994960</v>
      </c>
      <c r="AE64" s="66">
        <f>1040760-45800</f>
        <v>994960</v>
      </c>
      <c r="AF64" s="49"/>
      <c r="AG64" s="49"/>
      <c r="AH64" s="90">
        <f t="shared" si="5"/>
        <v>211900</v>
      </c>
      <c r="AI64" s="66">
        <v>124200</v>
      </c>
      <c r="AJ64" s="66">
        <v>40300</v>
      </c>
      <c r="AK64" s="66"/>
      <c r="AL64" s="66">
        <v>30700</v>
      </c>
      <c r="AM64" s="66">
        <v>16700</v>
      </c>
      <c r="AN64" s="66"/>
      <c r="AO64" s="66"/>
      <c r="AP64" s="90">
        <f t="shared" si="6"/>
        <v>538930</v>
      </c>
      <c r="AQ64" s="66">
        <v>118370</v>
      </c>
      <c r="AR64" s="66">
        <v>126260</v>
      </c>
      <c r="AS64" s="66">
        <v>283500</v>
      </c>
      <c r="AT64" s="66">
        <v>10800</v>
      </c>
      <c r="AU64" s="66"/>
      <c r="AV64" s="66">
        <v>1431482</v>
      </c>
      <c r="AW64" s="66">
        <v>1431482</v>
      </c>
      <c r="AX64" s="66"/>
      <c r="AY64" s="51"/>
      <c r="AZ64" s="66"/>
      <c r="BA64" s="66"/>
      <c r="BB64" s="49"/>
      <c r="BC64" s="66"/>
      <c r="BD64" s="66"/>
      <c r="BE64" s="49"/>
      <c r="BF64" s="49"/>
      <c r="BG64" s="66"/>
      <c r="BH64" s="90">
        <f t="shared" si="7"/>
        <v>173000</v>
      </c>
      <c r="BI64" s="90">
        <v>73000</v>
      </c>
      <c r="BJ64" s="66">
        <v>100000</v>
      </c>
      <c r="BK64" s="49"/>
      <c r="BL64" s="49"/>
      <c r="BM64" s="49"/>
      <c r="BN64" s="49"/>
      <c r="BO64" s="49"/>
      <c r="BP64" s="49"/>
      <c r="BQ64" s="66">
        <f t="shared" si="8"/>
        <v>0</v>
      </c>
      <c r="BR64" s="49"/>
      <c r="BS64" s="49"/>
      <c r="BT64" s="66"/>
      <c r="BU64" s="66"/>
      <c r="BV64" s="66"/>
      <c r="BW64" s="66"/>
      <c r="BX64" s="90">
        <f t="shared" si="25"/>
        <v>140000</v>
      </c>
      <c r="BY64" s="90">
        <v>40000</v>
      </c>
      <c r="BZ64" s="90"/>
      <c r="CA64" s="90"/>
      <c r="CB64" s="90"/>
      <c r="CC64" s="91"/>
      <c r="CD64" s="90"/>
      <c r="CE64" s="49"/>
      <c r="CF64" s="66">
        <f t="shared" si="17"/>
        <v>100000</v>
      </c>
      <c r="CG64" s="49"/>
      <c r="CH64" s="66">
        <v>100000</v>
      </c>
      <c r="CI64" s="51">
        <f t="shared" si="10"/>
        <v>8157166</v>
      </c>
      <c r="CJ64" s="81"/>
      <c r="CK64" s="367"/>
      <c r="CL64" s="367"/>
      <c r="CM64" s="81"/>
      <c r="CN64" s="367"/>
      <c r="CO64" s="367"/>
      <c r="CP64" s="1486"/>
      <c r="CQ64" s="1486"/>
      <c r="CR64" s="367"/>
      <c r="CS64" s="1486"/>
      <c r="CT64" s="1485"/>
      <c r="CU64" s="1485">
        <f t="shared" si="11"/>
        <v>0</v>
      </c>
      <c r="CV64" s="1486"/>
      <c r="CW64" s="1486"/>
      <c r="CX64" s="1486"/>
      <c r="CY64" s="1486"/>
      <c r="CZ64" s="1486"/>
    </row>
    <row r="65" spans="1:104" s="67" customFormat="1" ht="31.15" customHeight="1">
      <c r="A65" s="1130" t="s">
        <v>693</v>
      </c>
      <c r="B65" s="1131" t="s">
        <v>1104</v>
      </c>
      <c r="C65" s="44"/>
      <c r="D65" s="1186">
        <f>'дод 1.2'!D1833</f>
        <v>0</v>
      </c>
      <c r="E65" s="44"/>
      <c r="F65" s="415">
        <f>'дод1.1'!E28</f>
        <v>300000</v>
      </c>
      <c r="G65" s="415">
        <f>'дод 1.2'!E1833</f>
        <v>624000</v>
      </c>
      <c r="H65" s="415">
        <f t="shared" si="0"/>
        <v>924000</v>
      </c>
      <c r="I65" s="66">
        <v>1680900</v>
      </c>
      <c r="J65" s="49"/>
      <c r="K65" s="49"/>
      <c r="L65" s="49"/>
      <c r="M65" s="49"/>
      <c r="N65" s="66"/>
      <c r="O65" s="66"/>
      <c r="P65" s="49"/>
      <c r="Q65" s="66">
        <f t="shared" si="1"/>
        <v>782860</v>
      </c>
      <c r="R65" s="66">
        <v>650000</v>
      </c>
      <c r="S65" s="66">
        <v>132860</v>
      </c>
      <c r="T65" s="66">
        <f t="shared" si="2"/>
        <v>0</v>
      </c>
      <c r="U65" s="66"/>
      <c r="V65" s="66"/>
      <c r="W65" s="51"/>
      <c r="X65" s="66">
        <f t="shared" si="3"/>
        <v>6700</v>
      </c>
      <c r="Y65" s="66">
        <v>6700</v>
      </c>
      <c r="Z65" s="66"/>
      <c r="AA65" s="66">
        <v>30500</v>
      </c>
      <c r="AB65" s="49"/>
      <c r="AC65" s="49"/>
      <c r="AD65" s="90">
        <f t="shared" si="4"/>
        <v>0</v>
      </c>
      <c r="AE65" s="66"/>
      <c r="AF65" s="49"/>
      <c r="AG65" s="49"/>
      <c r="AH65" s="90">
        <f t="shared" si="5"/>
        <v>109800</v>
      </c>
      <c r="AI65" s="66">
        <v>71000</v>
      </c>
      <c r="AJ65" s="66">
        <v>23000</v>
      </c>
      <c r="AK65" s="66"/>
      <c r="AL65" s="66">
        <v>10200</v>
      </c>
      <c r="AM65" s="66">
        <v>5600</v>
      </c>
      <c r="AN65" s="66"/>
      <c r="AO65" s="66"/>
      <c r="AP65" s="90">
        <f t="shared" si="6"/>
        <v>166410</v>
      </c>
      <c r="AQ65" s="66">
        <v>55060</v>
      </c>
      <c r="AR65" s="66">
        <v>67250</v>
      </c>
      <c r="AS65" s="66">
        <v>40500</v>
      </c>
      <c r="AT65" s="66">
        <v>3600</v>
      </c>
      <c r="AU65" s="66"/>
      <c r="AV65" s="66"/>
      <c r="AW65" s="66"/>
      <c r="AX65" s="66"/>
      <c r="AY65" s="51"/>
      <c r="AZ65" s="66"/>
      <c r="BA65" s="66"/>
      <c r="BB65" s="49"/>
      <c r="BC65" s="66">
        <v>156300</v>
      </c>
      <c r="BD65" s="66"/>
      <c r="BE65" s="49"/>
      <c r="BF65" s="49"/>
      <c r="BG65" s="66"/>
      <c r="BH65" s="90">
        <f t="shared" si="7"/>
        <v>45635</v>
      </c>
      <c r="BI65" s="90">
        <v>45635</v>
      </c>
      <c r="BJ65" s="66"/>
      <c r="BK65" s="49"/>
      <c r="BL65" s="49"/>
      <c r="BM65" s="49"/>
      <c r="BN65" s="49"/>
      <c r="BO65" s="49"/>
      <c r="BP65" s="49"/>
      <c r="BQ65" s="66">
        <f t="shared" si="8"/>
        <v>0</v>
      </c>
      <c r="BR65" s="49"/>
      <c r="BS65" s="49"/>
      <c r="BT65" s="66"/>
      <c r="BU65" s="66"/>
      <c r="BV65" s="66"/>
      <c r="BW65" s="66"/>
      <c r="BX65" s="90">
        <f t="shared" si="25"/>
        <v>40000</v>
      </c>
      <c r="BY65" s="90">
        <v>30000</v>
      </c>
      <c r="BZ65" s="90">
        <v>10000</v>
      </c>
      <c r="CA65" s="90"/>
      <c r="CB65" s="90"/>
      <c r="CC65" s="91"/>
      <c r="CD65" s="91"/>
      <c r="CE65" s="49"/>
      <c r="CF65" s="66">
        <f t="shared" si="17"/>
        <v>0</v>
      </c>
      <c r="CG65" s="49"/>
      <c r="CH65" s="66"/>
      <c r="CI65" s="51">
        <f t="shared" si="10"/>
        <v>3019105</v>
      </c>
      <c r="CJ65" s="81"/>
      <c r="CK65" s="367"/>
      <c r="CL65" s="367"/>
      <c r="CM65" s="81"/>
      <c r="CN65" s="367"/>
      <c r="CO65" s="367"/>
      <c r="CP65" s="1486"/>
      <c r="CQ65" s="1486"/>
      <c r="CR65" s="367"/>
      <c r="CS65" s="1486"/>
      <c r="CT65" s="1485"/>
      <c r="CU65" s="1485">
        <f t="shared" si="11"/>
        <v>0</v>
      </c>
      <c r="CV65" s="1486"/>
      <c r="CW65" s="1486"/>
      <c r="CX65" s="1486"/>
      <c r="CY65" s="1486"/>
      <c r="CZ65" s="1486"/>
    </row>
    <row r="66" spans="1:104" s="67" customFormat="1" ht="31.15" customHeight="1">
      <c r="A66" s="1130" t="s">
        <v>694</v>
      </c>
      <c r="B66" s="1131" t="s">
        <v>1105</v>
      </c>
      <c r="C66" s="44"/>
      <c r="D66" s="44"/>
      <c r="E66" s="44"/>
      <c r="F66" s="415"/>
      <c r="G66" s="415"/>
      <c r="H66" s="415">
        <f t="shared" si="0"/>
        <v>0</v>
      </c>
      <c r="I66" s="66">
        <v>3883900</v>
      </c>
      <c r="J66" s="49"/>
      <c r="K66" s="49"/>
      <c r="L66" s="49"/>
      <c r="M66" s="49"/>
      <c r="N66" s="66"/>
      <c r="O66" s="66"/>
      <c r="P66" s="49"/>
      <c r="Q66" s="66">
        <f t="shared" si="1"/>
        <v>188000</v>
      </c>
      <c r="R66" s="66">
        <v>150000</v>
      </c>
      <c r="S66" s="66"/>
      <c r="T66" s="66">
        <f t="shared" si="2"/>
        <v>38000</v>
      </c>
      <c r="U66" s="66">
        <v>38000</v>
      </c>
      <c r="V66" s="66"/>
      <c r="W66" s="51"/>
      <c r="X66" s="66">
        <f t="shared" si="3"/>
        <v>18000</v>
      </c>
      <c r="Y66" s="66">
        <v>18000</v>
      </c>
      <c r="Z66" s="66"/>
      <c r="AA66" s="66">
        <v>153800</v>
      </c>
      <c r="AB66" s="49"/>
      <c r="AC66" s="49"/>
      <c r="AD66" s="90">
        <f t="shared" si="4"/>
        <v>1040760</v>
      </c>
      <c r="AE66" s="66">
        <v>1040760</v>
      </c>
      <c r="AF66" s="49"/>
      <c r="AG66" s="49"/>
      <c r="AH66" s="90">
        <f t="shared" si="5"/>
        <v>62800</v>
      </c>
      <c r="AI66" s="66">
        <v>35500</v>
      </c>
      <c r="AJ66" s="66">
        <v>11500</v>
      </c>
      <c r="AK66" s="66"/>
      <c r="AL66" s="66">
        <v>10200</v>
      </c>
      <c r="AM66" s="66">
        <v>5600</v>
      </c>
      <c r="AN66" s="66"/>
      <c r="AO66" s="66"/>
      <c r="AP66" s="90">
        <f t="shared" si="6"/>
        <v>486150</v>
      </c>
      <c r="AQ66" s="66">
        <v>134890</v>
      </c>
      <c r="AR66" s="66">
        <v>179260</v>
      </c>
      <c r="AS66" s="66">
        <v>162000</v>
      </c>
      <c r="AT66" s="66">
        <v>10000</v>
      </c>
      <c r="AU66" s="66"/>
      <c r="AV66" s="66">
        <v>3661340</v>
      </c>
      <c r="AW66" s="66">
        <v>3661340</v>
      </c>
      <c r="AX66" s="66"/>
      <c r="AY66" s="51"/>
      <c r="AZ66" s="66"/>
      <c r="BA66" s="66"/>
      <c r="BB66" s="49"/>
      <c r="BC66" s="66"/>
      <c r="BD66" s="66"/>
      <c r="BE66" s="49"/>
      <c r="BF66" s="49"/>
      <c r="BG66" s="66"/>
      <c r="BH66" s="90">
        <f t="shared" si="7"/>
        <v>110661</v>
      </c>
      <c r="BI66" s="90">
        <f>82112+5000</f>
        <v>87112</v>
      </c>
      <c r="BJ66" s="66">
        <f>23549</f>
        <v>23549</v>
      </c>
      <c r="BK66" s="49"/>
      <c r="BL66" s="49"/>
      <c r="BM66" s="49"/>
      <c r="BN66" s="49"/>
      <c r="BO66" s="49"/>
      <c r="BP66" s="49"/>
      <c r="BQ66" s="66">
        <f t="shared" si="8"/>
        <v>0</v>
      </c>
      <c r="BR66" s="49"/>
      <c r="BS66" s="49"/>
      <c r="BT66" s="66"/>
      <c r="BU66" s="66"/>
      <c r="BV66" s="66"/>
      <c r="BW66" s="66"/>
      <c r="BX66" s="90">
        <f t="shared" si="25"/>
        <v>221038</v>
      </c>
      <c r="BY66" s="90">
        <f>67538+18000</f>
        <v>85538</v>
      </c>
      <c r="BZ66" s="90">
        <v>135500</v>
      </c>
      <c r="CA66" s="90"/>
      <c r="CB66" s="90"/>
      <c r="CC66" s="91"/>
      <c r="CD66" s="91"/>
      <c r="CE66" s="49"/>
      <c r="CF66" s="66">
        <f t="shared" si="17"/>
        <v>0</v>
      </c>
      <c r="CG66" s="49"/>
      <c r="CH66" s="66"/>
      <c r="CI66" s="51">
        <f t="shared" si="10"/>
        <v>9826449</v>
      </c>
      <c r="CJ66" s="81"/>
      <c r="CK66" s="367"/>
      <c r="CL66" s="367"/>
      <c r="CM66" s="81"/>
      <c r="CN66" s="367"/>
      <c r="CO66" s="367"/>
      <c r="CP66" s="1486"/>
      <c r="CQ66" s="1486"/>
      <c r="CR66" s="367"/>
      <c r="CS66" s="1486"/>
      <c r="CT66" s="1485"/>
      <c r="CU66" s="1485">
        <f t="shared" si="11"/>
        <v>0</v>
      </c>
      <c r="CV66" s="1486"/>
      <c r="CW66" s="1486"/>
      <c r="CX66" s="1486"/>
      <c r="CY66" s="1486"/>
      <c r="CZ66" s="1486"/>
    </row>
    <row r="67" spans="1:104" s="67" customFormat="1" ht="31.15" customHeight="1">
      <c r="A67" s="1130" t="s">
        <v>695</v>
      </c>
      <c r="B67" s="1131" t="s">
        <v>1106</v>
      </c>
      <c r="C67" s="44"/>
      <c r="D67" s="1186">
        <f>'дод 1.2'!D1920</f>
        <v>0</v>
      </c>
      <c r="E67" s="44"/>
      <c r="F67" s="415"/>
      <c r="G67" s="415">
        <f>'дод 1.2'!E1920</f>
        <v>650000</v>
      </c>
      <c r="H67" s="415">
        <f t="shared" si="0"/>
        <v>650000</v>
      </c>
      <c r="I67" s="66">
        <v>5925500</v>
      </c>
      <c r="J67" s="49"/>
      <c r="K67" s="49"/>
      <c r="L67" s="49"/>
      <c r="M67" s="49"/>
      <c r="N67" s="66"/>
      <c r="O67" s="66"/>
      <c r="P67" s="49"/>
      <c r="Q67" s="66">
        <f t="shared" si="1"/>
        <v>682860</v>
      </c>
      <c r="R67" s="66">
        <v>450000</v>
      </c>
      <c r="S67" s="66">
        <v>132860</v>
      </c>
      <c r="T67" s="66">
        <f t="shared" si="2"/>
        <v>100000</v>
      </c>
      <c r="U67" s="66">
        <v>100000</v>
      </c>
      <c r="V67" s="66"/>
      <c r="W67" s="51"/>
      <c r="X67" s="66">
        <f t="shared" si="3"/>
        <v>19500</v>
      </c>
      <c r="Y67" s="66">
        <v>19500</v>
      </c>
      <c r="Z67" s="66"/>
      <c r="AA67" s="66">
        <v>116200</v>
      </c>
      <c r="AB67" s="49"/>
      <c r="AC67" s="49"/>
      <c r="AD67" s="90">
        <f t="shared" si="4"/>
        <v>0</v>
      </c>
      <c r="AE67" s="66"/>
      <c r="AF67" s="66"/>
      <c r="AG67" s="66"/>
      <c r="AH67" s="90">
        <f t="shared" si="5"/>
        <v>164500</v>
      </c>
      <c r="AI67" s="66">
        <v>124200</v>
      </c>
      <c r="AJ67" s="66">
        <v>40300</v>
      </c>
      <c r="AK67" s="66"/>
      <c r="AL67" s="66"/>
      <c r="AM67" s="66"/>
      <c r="AN67" s="66"/>
      <c r="AO67" s="66"/>
      <c r="AP67" s="90">
        <f t="shared" si="6"/>
        <v>509600</v>
      </c>
      <c r="AQ67" s="66">
        <v>134890</v>
      </c>
      <c r="AR67" s="66">
        <v>182260</v>
      </c>
      <c r="AS67" s="66">
        <v>182250</v>
      </c>
      <c r="AT67" s="66">
        <v>10200</v>
      </c>
      <c r="AU67" s="66"/>
      <c r="AV67" s="66">
        <v>2371850</v>
      </c>
      <c r="AW67" s="66">
        <v>2371850</v>
      </c>
      <c r="AX67" s="66"/>
      <c r="AY67" s="51"/>
      <c r="AZ67" s="66"/>
      <c r="BA67" s="66"/>
      <c r="BB67" s="66"/>
      <c r="BC67" s="66"/>
      <c r="BD67" s="66"/>
      <c r="BE67" s="49"/>
      <c r="BF67" s="49"/>
      <c r="BG67" s="66"/>
      <c r="BH67" s="90">
        <f t="shared" si="7"/>
        <v>533224</v>
      </c>
      <c r="BI67" s="90">
        <v>333224</v>
      </c>
      <c r="BJ67" s="66">
        <v>200000</v>
      </c>
      <c r="BK67" s="49"/>
      <c r="BL67" s="49"/>
      <c r="BM67" s="49"/>
      <c r="BN67" s="49"/>
      <c r="BO67" s="49"/>
      <c r="BP67" s="49"/>
      <c r="BQ67" s="66">
        <f t="shared" si="8"/>
        <v>0</v>
      </c>
      <c r="BR67" s="49"/>
      <c r="BS67" s="49"/>
      <c r="BT67" s="66"/>
      <c r="BU67" s="66"/>
      <c r="BV67" s="66"/>
      <c r="BW67" s="66"/>
      <c r="BX67" s="90">
        <f t="shared" si="25"/>
        <v>276000</v>
      </c>
      <c r="BY67" s="90">
        <v>76000</v>
      </c>
      <c r="BZ67" s="90">
        <v>200000</v>
      </c>
      <c r="CA67" s="90"/>
      <c r="CB67" s="90"/>
      <c r="CC67" s="91"/>
      <c r="CD67" s="91"/>
      <c r="CE67" s="49"/>
      <c r="CF67" s="66">
        <f t="shared" si="17"/>
        <v>0</v>
      </c>
      <c r="CG67" s="49"/>
      <c r="CH67" s="66"/>
      <c r="CI67" s="51">
        <f t="shared" si="10"/>
        <v>10599234</v>
      </c>
      <c r="CJ67" s="81"/>
      <c r="CK67" s="367"/>
      <c r="CL67" s="367"/>
      <c r="CM67" s="81"/>
      <c r="CN67" s="367"/>
      <c r="CO67" s="367"/>
      <c r="CP67" s="1486"/>
      <c r="CQ67" s="1486"/>
      <c r="CR67" s="367"/>
      <c r="CS67" s="1486"/>
      <c r="CT67" s="1485"/>
      <c r="CU67" s="1485">
        <f t="shared" si="11"/>
        <v>0</v>
      </c>
      <c r="CV67" s="1486"/>
      <c r="CW67" s="1486"/>
      <c r="CX67" s="1486"/>
      <c r="CY67" s="1486"/>
      <c r="CZ67" s="1486"/>
    </row>
    <row r="68" spans="1:104" s="67" customFormat="1" ht="31.15" customHeight="1">
      <c r="A68" s="1130" t="s">
        <v>696</v>
      </c>
      <c r="B68" s="1131" t="s">
        <v>1107</v>
      </c>
      <c r="C68" s="44"/>
      <c r="D68" s="1186"/>
      <c r="E68" s="44"/>
      <c r="F68" s="415">
        <f>'дод1.1'!C19</f>
        <v>1879043</v>
      </c>
      <c r="G68" s="415">
        <f>'дод 1.2'!E1859</f>
        <v>14000</v>
      </c>
      <c r="H68" s="415">
        <f t="shared" si="0"/>
        <v>1893043</v>
      </c>
      <c r="I68" s="66">
        <v>1741000</v>
      </c>
      <c r="J68" s="49"/>
      <c r="K68" s="49"/>
      <c r="L68" s="49"/>
      <c r="M68" s="49"/>
      <c r="N68" s="66"/>
      <c r="O68" s="66"/>
      <c r="P68" s="49"/>
      <c r="Q68" s="66">
        <f t="shared" si="1"/>
        <v>650000</v>
      </c>
      <c r="R68" s="66">
        <v>250000</v>
      </c>
      <c r="S68" s="66"/>
      <c r="T68" s="66">
        <f t="shared" si="2"/>
        <v>400000</v>
      </c>
      <c r="U68" s="66"/>
      <c r="V68" s="66">
        <v>400000</v>
      </c>
      <c r="W68" s="51"/>
      <c r="X68" s="66">
        <f t="shared" si="3"/>
        <v>9600</v>
      </c>
      <c r="Y68" s="66">
        <v>9600</v>
      </c>
      <c r="Z68" s="66"/>
      <c r="AA68" s="66"/>
      <c r="AB68" s="49"/>
      <c r="AC68" s="49"/>
      <c r="AD68" s="90">
        <f t="shared" si="4"/>
        <v>0</v>
      </c>
      <c r="AE68" s="66"/>
      <c r="AF68" s="49"/>
      <c r="AG68" s="49"/>
      <c r="AH68" s="90">
        <f t="shared" si="5"/>
        <v>23500</v>
      </c>
      <c r="AI68" s="66">
        <v>17700</v>
      </c>
      <c r="AJ68" s="66">
        <v>5800</v>
      </c>
      <c r="AK68" s="66"/>
      <c r="AL68" s="66"/>
      <c r="AM68" s="66"/>
      <c r="AN68" s="66"/>
      <c r="AO68" s="66"/>
      <c r="AP68" s="90">
        <f t="shared" si="6"/>
        <v>122930</v>
      </c>
      <c r="AQ68" s="66">
        <v>33030</v>
      </c>
      <c r="AR68" s="66">
        <v>47500</v>
      </c>
      <c r="AS68" s="66">
        <v>40500</v>
      </c>
      <c r="AT68" s="66">
        <v>1900</v>
      </c>
      <c r="AU68" s="66"/>
      <c r="AV68" s="66">
        <v>203637</v>
      </c>
      <c r="AW68" s="66">
        <v>203637</v>
      </c>
      <c r="AX68" s="66"/>
      <c r="AY68" s="51"/>
      <c r="AZ68" s="66"/>
      <c r="BA68" s="66"/>
      <c r="BB68" s="49"/>
      <c r="BC68" s="66"/>
      <c r="BD68" s="66"/>
      <c r="BE68" s="49"/>
      <c r="BF68" s="49"/>
      <c r="BG68" s="66"/>
      <c r="BH68" s="90">
        <f t="shared" si="7"/>
        <v>34224</v>
      </c>
      <c r="BI68" s="90">
        <v>34224</v>
      </c>
      <c r="BJ68" s="66"/>
      <c r="BK68" s="49"/>
      <c r="BL68" s="49"/>
      <c r="BM68" s="49"/>
      <c r="BN68" s="49"/>
      <c r="BO68" s="49"/>
      <c r="BP68" s="49"/>
      <c r="BQ68" s="66">
        <f t="shared" si="8"/>
        <v>0</v>
      </c>
      <c r="BR68" s="49"/>
      <c r="BS68" s="49"/>
      <c r="BT68" s="66"/>
      <c r="BU68" s="66"/>
      <c r="BV68" s="66"/>
      <c r="BW68" s="66"/>
      <c r="BX68" s="90">
        <f t="shared" si="25"/>
        <v>615000</v>
      </c>
      <c r="BY68" s="90">
        <v>135000</v>
      </c>
      <c r="BZ68" s="90">
        <v>480000</v>
      </c>
      <c r="CA68" s="90"/>
      <c r="CB68" s="90"/>
      <c r="CC68" s="91"/>
      <c r="CD68" s="91"/>
      <c r="CE68" s="49"/>
      <c r="CF68" s="66">
        <f t="shared" si="17"/>
        <v>0</v>
      </c>
      <c r="CG68" s="49"/>
      <c r="CH68" s="66"/>
      <c r="CI68" s="51">
        <f t="shared" si="10"/>
        <v>3399891</v>
      </c>
      <c r="CJ68" s="81"/>
      <c r="CK68" s="367"/>
      <c r="CL68" s="367"/>
      <c r="CM68" s="81"/>
      <c r="CN68" s="367"/>
      <c r="CO68" s="367"/>
      <c r="CP68" s="1486"/>
      <c r="CQ68" s="1486"/>
      <c r="CR68" s="367"/>
      <c r="CS68" s="1486"/>
      <c r="CT68" s="1485"/>
      <c r="CU68" s="1485">
        <f t="shared" si="11"/>
        <v>0</v>
      </c>
      <c r="CV68" s="1486"/>
      <c r="CW68" s="1486"/>
      <c r="CX68" s="1486"/>
      <c r="CY68" s="1486"/>
      <c r="CZ68" s="1486"/>
    </row>
    <row r="69" spans="1:104" s="67" customFormat="1" ht="31.15" customHeight="1">
      <c r="A69" s="1130" t="s">
        <v>697</v>
      </c>
      <c r="B69" s="1131" t="s">
        <v>1108</v>
      </c>
      <c r="C69" s="44"/>
      <c r="D69" s="44"/>
      <c r="E69" s="415">
        <v>773330</v>
      </c>
      <c r="F69" s="415">
        <f>'дод1.1'!C145</f>
        <v>386670</v>
      </c>
      <c r="G69" s="415"/>
      <c r="H69" s="415">
        <f t="shared" si="0"/>
        <v>1160000</v>
      </c>
      <c r="I69" s="66">
        <v>936300</v>
      </c>
      <c r="J69" s="49"/>
      <c r="K69" s="49"/>
      <c r="L69" s="49"/>
      <c r="M69" s="49"/>
      <c r="N69" s="66"/>
      <c r="O69" s="66"/>
      <c r="P69" s="49"/>
      <c r="Q69" s="66">
        <f t="shared" si="1"/>
        <v>512000</v>
      </c>
      <c r="R69" s="66">
        <v>500000</v>
      </c>
      <c r="S69" s="66"/>
      <c r="T69" s="66">
        <f t="shared" si="2"/>
        <v>12000</v>
      </c>
      <c r="U69" s="66">
        <v>12000</v>
      </c>
      <c r="V69" s="66"/>
      <c r="W69" s="51"/>
      <c r="X69" s="66">
        <f t="shared" si="3"/>
        <v>3500</v>
      </c>
      <c r="Y69" s="66">
        <v>3500</v>
      </c>
      <c r="Z69" s="66"/>
      <c r="AA69" s="66"/>
      <c r="AB69" s="49"/>
      <c r="AC69" s="49"/>
      <c r="AD69" s="90">
        <f t="shared" si="4"/>
        <v>0</v>
      </c>
      <c r="AE69" s="66"/>
      <c r="AF69" s="49"/>
      <c r="AG69" s="49"/>
      <c r="AH69" s="90">
        <f t="shared" si="5"/>
        <v>0</v>
      </c>
      <c r="AI69" s="66">
        <v>0</v>
      </c>
      <c r="AJ69" s="66"/>
      <c r="AK69" s="66"/>
      <c r="AL69" s="66"/>
      <c r="AM69" s="66"/>
      <c r="AN69" s="66"/>
      <c r="AO69" s="66"/>
      <c r="AP69" s="90">
        <f t="shared" si="6"/>
        <v>152540</v>
      </c>
      <c r="AQ69" s="66">
        <v>41290</v>
      </c>
      <c r="AR69" s="66">
        <v>47500</v>
      </c>
      <c r="AS69" s="66">
        <v>60750</v>
      </c>
      <c r="AT69" s="66">
        <v>3000</v>
      </c>
      <c r="AU69" s="66"/>
      <c r="AV69" s="66"/>
      <c r="AW69" s="66"/>
      <c r="AX69" s="66"/>
      <c r="AY69" s="51"/>
      <c r="AZ69" s="66"/>
      <c r="BA69" s="66"/>
      <c r="BB69" s="49"/>
      <c r="BC69" s="66"/>
      <c r="BD69" s="66"/>
      <c r="BE69" s="49"/>
      <c r="BF69" s="49"/>
      <c r="BG69" s="66"/>
      <c r="BH69" s="90">
        <f t="shared" si="7"/>
        <v>0</v>
      </c>
      <c r="BI69" s="90">
        <v>0</v>
      </c>
      <c r="BJ69" s="66"/>
      <c r="BK69" s="49"/>
      <c r="BL69" s="49"/>
      <c r="BM69" s="49"/>
      <c r="BN69" s="49"/>
      <c r="BO69" s="49"/>
      <c r="BP69" s="49"/>
      <c r="BQ69" s="66">
        <f t="shared" si="8"/>
        <v>0</v>
      </c>
      <c r="BR69" s="49"/>
      <c r="BS69" s="49"/>
      <c r="BT69" s="66"/>
      <c r="BU69" s="66"/>
      <c r="BV69" s="66"/>
      <c r="BW69" s="66"/>
      <c r="BX69" s="90">
        <f t="shared" si="25"/>
        <v>0</v>
      </c>
      <c r="BY69" s="90">
        <v>0</v>
      </c>
      <c r="BZ69" s="90"/>
      <c r="CA69" s="90"/>
      <c r="CB69" s="90"/>
      <c r="CC69" s="91"/>
      <c r="CD69" s="91"/>
      <c r="CE69" s="49"/>
      <c r="CF69" s="66">
        <f t="shared" si="17"/>
        <v>0</v>
      </c>
      <c r="CG69" s="49"/>
      <c r="CH69" s="66"/>
      <c r="CI69" s="51">
        <f t="shared" si="10"/>
        <v>1604340</v>
      </c>
      <c r="CJ69" s="81"/>
      <c r="CK69" s="367"/>
      <c r="CL69" s="367"/>
      <c r="CM69" s="81"/>
      <c r="CN69" s="367"/>
      <c r="CO69" s="367"/>
      <c r="CP69" s="1486"/>
      <c r="CQ69" s="1486"/>
      <c r="CR69" s="367"/>
      <c r="CS69" s="1486"/>
      <c r="CT69" s="1485"/>
      <c r="CU69" s="1485">
        <f t="shared" si="11"/>
        <v>0</v>
      </c>
      <c r="CV69" s="1486"/>
      <c r="CW69" s="1486"/>
      <c r="CX69" s="1486"/>
      <c r="CY69" s="1486"/>
      <c r="CZ69" s="1486"/>
    </row>
    <row r="70" spans="1:104" s="67" customFormat="1" ht="31.15" customHeight="1">
      <c r="A70" s="1130" t="s">
        <v>698</v>
      </c>
      <c r="B70" s="1131" t="s">
        <v>1109</v>
      </c>
      <c r="C70" s="44"/>
      <c r="D70" s="44"/>
      <c r="E70" s="44"/>
      <c r="F70" s="415"/>
      <c r="G70" s="415">
        <f>'дод 1.2'!E1912</f>
        <v>585000</v>
      </c>
      <c r="H70" s="415">
        <f t="shared" si="0"/>
        <v>585000</v>
      </c>
      <c r="I70" s="66">
        <v>1589800</v>
      </c>
      <c r="J70" s="49"/>
      <c r="K70" s="49"/>
      <c r="L70" s="49"/>
      <c r="M70" s="49"/>
      <c r="N70" s="66"/>
      <c r="O70" s="66"/>
      <c r="P70" s="49"/>
      <c r="Q70" s="66">
        <f t="shared" si="1"/>
        <v>500000</v>
      </c>
      <c r="R70" s="66">
        <v>500000</v>
      </c>
      <c r="S70" s="66"/>
      <c r="T70" s="66">
        <f t="shared" si="2"/>
        <v>0</v>
      </c>
      <c r="U70" s="66"/>
      <c r="V70" s="66"/>
      <c r="W70" s="51"/>
      <c r="X70" s="66">
        <f t="shared" si="3"/>
        <v>6100</v>
      </c>
      <c r="Y70" s="66">
        <v>6100</v>
      </c>
      <c r="Z70" s="66"/>
      <c r="AA70" s="66"/>
      <c r="AB70" s="49"/>
      <c r="AC70" s="49"/>
      <c r="AD70" s="90">
        <f t="shared" si="4"/>
        <v>0</v>
      </c>
      <c r="AE70" s="66"/>
      <c r="AF70" s="49"/>
      <c r="AG70" s="49"/>
      <c r="AH70" s="90">
        <f t="shared" si="5"/>
        <v>0</v>
      </c>
      <c r="AI70" s="66">
        <v>0</v>
      </c>
      <c r="AJ70" s="66"/>
      <c r="AK70" s="66"/>
      <c r="AL70" s="66"/>
      <c r="AM70" s="66"/>
      <c r="AN70" s="66"/>
      <c r="AO70" s="66"/>
      <c r="AP70" s="90">
        <f t="shared" si="6"/>
        <v>131930</v>
      </c>
      <c r="AQ70" s="66">
        <v>33030</v>
      </c>
      <c r="AR70" s="66">
        <v>34250</v>
      </c>
      <c r="AS70" s="66">
        <v>60750</v>
      </c>
      <c r="AT70" s="66">
        <v>3900</v>
      </c>
      <c r="AU70" s="66"/>
      <c r="AV70" s="66"/>
      <c r="AW70" s="66"/>
      <c r="AX70" s="66"/>
      <c r="AY70" s="51"/>
      <c r="AZ70" s="66"/>
      <c r="BA70" s="66"/>
      <c r="BB70" s="49"/>
      <c r="BC70" s="66"/>
      <c r="BD70" s="66"/>
      <c r="BE70" s="49"/>
      <c r="BF70" s="49"/>
      <c r="BG70" s="66"/>
      <c r="BH70" s="90">
        <f t="shared" si="7"/>
        <v>76000</v>
      </c>
      <c r="BI70" s="90">
        <v>76000</v>
      </c>
      <c r="BJ70" s="66"/>
      <c r="BK70" s="49"/>
      <c r="BL70" s="49"/>
      <c r="BM70" s="49"/>
      <c r="BN70" s="49"/>
      <c r="BO70" s="49"/>
      <c r="BP70" s="49"/>
      <c r="BQ70" s="66">
        <f t="shared" si="8"/>
        <v>0</v>
      </c>
      <c r="BR70" s="49"/>
      <c r="BS70" s="49"/>
      <c r="BT70" s="66"/>
      <c r="BU70" s="66"/>
      <c r="BV70" s="66"/>
      <c r="BW70" s="66"/>
      <c r="BX70" s="90">
        <f t="shared" si="25"/>
        <v>22000</v>
      </c>
      <c r="BY70" s="90">
        <v>22000</v>
      </c>
      <c r="BZ70" s="90"/>
      <c r="CA70" s="90"/>
      <c r="CB70" s="90"/>
      <c r="CC70" s="91"/>
      <c r="CD70" s="91"/>
      <c r="CE70" s="66"/>
      <c r="CF70" s="66">
        <f t="shared" si="17"/>
        <v>0</v>
      </c>
      <c r="CG70" s="49"/>
      <c r="CH70" s="66"/>
      <c r="CI70" s="51">
        <f t="shared" si="10"/>
        <v>2325830</v>
      </c>
      <c r="CJ70" s="81"/>
      <c r="CK70" s="367"/>
      <c r="CL70" s="367"/>
      <c r="CM70" s="81"/>
      <c r="CN70" s="367"/>
      <c r="CO70" s="367"/>
      <c r="CP70" s="1486"/>
      <c r="CQ70" s="1486"/>
      <c r="CR70" s="367"/>
      <c r="CS70" s="1486"/>
      <c r="CT70" s="1485"/>
      <c r="CU70" s="1485">
        <f t="shared" si="11"/>
        <v>0</v>
      </c>
      <c r="CV70" s="1486"/>
      <c r="CW70" s="1486"/>
      <c r="CX70" s="1486"/>
      <c r="CY70" s="1486"/>
      <c r="CZ70" s="1486"/>
    </row>
    <row r="71" spans="1:104" s="67" customFormat="1" ht="31.15" customHeight="1">
      <c r="A71" s="1130" t="s">
        <v>699</v>
      </c>
      <c r="B71" s="1131" t="s">
        <v>1110</v>
      </c>
      <c r="C71" s="44"/>
      <c r="D71" s="44"/>
      <c r="E71" s="44"/>
      <c r="F71" s="415"/>
      <c r="G71" s="415"/>
      <c r="H71" s="415">
        <f t="shared" si="0"/>
        <v>0</v>
      </c>
      <c r="I71" s="66">
        <v>2054900</v>
      </c>
      <c r="J71" s="49"/>
      <c r="K71" s="49"/>
      <c r="L71" s="49"/>
      <c r="M71" s="49"/>
      <c r="N71" s="66"/>
      <c r="O71" s="66"/>
      <c r="P71" s="49"/>
      <c r="Q71" s="66">
        <f t="shared" si="1"/>
        <v>750000</v>
      </c>
      <c r="R71" s="66">
        <v>750000</v>
      </c>
      <c r="S71" s="66"/>
      <c r="T71" s="66">
        <f t="shared" si="2"/>
        <v>0</v>
      </c>
      <c r="U71" s="66"/>
      <c r="V71" s="66"/>
      <c r="W71" s="51"/>
      <c r="X71" s="66">
        <f t="shared" si="3"/>
        <v>2300</v>
      </c>
      <c r="Y71" s="66">
        <v>2300</v>
      </c>
      <c r="Z71" s="66"/>
      <c r="AA71" s="66"/>
      <c r="AB71" s="49"/>
      <c r="AC71" s="49"/>
      <c r="AD71" s="90">
        <f t="shared" si="4"/>
        <v>0</v>
      </c>
      <c r="AE71" s="66"/>
      <c r="AF71" s="66"/>
      <c r="AG71" s="66"/>
      <c r="AH71" s="90">
        <f t="shared" si="5"/>
        <v>109800</v>
      </c>
      <c r="AI71" s="66">
        <v>71000</v>
      </c>
      <c r="AJ71" s="66">
        <v>23000</v>
      </c>
      <c r="AK71" s="66"/>
      <c r="AL71" s="66">
        <v>10200</v>
      </c>
      <c r="AM71" s="66">
        <v>5600</v>
      </c>
      <c r="AN71" s="66"/>
      <c r="AO71" s="66"/>
      <c r="AP71" s="90">
        <f t="shared" si="6"/>
        <v>199400</v>
      </c>
      <c r="AQ71" s="66">
        <v>49550</v>
      </c>
      <c r="AR71" s="66">
        <v>65250</v>
      </c>
      <c r="AS71" s="66">
        <v>81000</v>
      </c>
      <c r="AT71" s="66">
        <v>3600</v>
      </c>
      <c r="AU71" s="66"/>
      <c r="AV71" s="66">
        <v>210000</v>
      </c>
      <c r="AW71" s="66">
        <v>210000</v>
      </c>
      <c r="AX71" s="66"/>
      <c r="AY71" s="51"/>
      <c r="AZ71" s="66"/>
      <c r="BA71" s="66"/>
      <c r="BB71" s="66"/>
      <c r="BC71" s="66"/>
      <c r="BD71" s="66"/>
      <c r="BE71" s="49"/>
      <c r="BF71" s="49"/>
      <c r="BG71" s="66"/>
      <c r="BH71" s="90">
        <f t="shared" si="7"/>
        <v>0</v>
      </c>
      <c r="BI71" s="90">
        <v>0</v>
      </c>
      <c r="BJ71" s="66"/>
      <c r="BK71" s="49"/>
      <c r="BL71" s="49"/>
      <c r="BM71" s="49"/>
      <c r="BN71" s="49"/>
      <c r="BO71" s="49"/>
      <c r="BP71" s="49"/>
      <c r="BQ71" s="66">
        <f t="shared" si="8"/>
        <v>0</v>
      </c>
      <c r="BR71" s="49"/>
      <c r="BS71" s="49"/>
      <c r="BT71" s="66"/>
      <c r="BU71" s="66"/>
      <c r="BV71" s="66"/>
      <c r="BW71" s="66"/>
      <c r="BX71" s="90">
        <f t="shared" si="25"/>
        <v>0</v>
      </c>
      <c r="BY71" s="90">
        <v>0</v>
      </c>
      <c r="BZ71" s="90"/>
      <c r="CA71" s="90"/>
      <c r="CB71" s="90"/>
      <c r="CC71" s="91"/>
      <c r="CD71" s="91"/>
      <c r="CE71" s="49"/>
      <c r="CF71" s="66">
        <f t="shared" si="17"/>
        <v>0</v>
      </c>
      <c r="CG71" s="49"/>
      <c r="CH71" s="66"/>
      <c r="CI71" s="51">
        <f t="shared" si="10"/>
        <v>3326400</v>
      </c>
      <c r="CJ71" s="81"/>
      <c r="CK71" s="367"/>
      <c r="CL71" s="367"/>
      <c r="CM71" s="81"/>
      <c r="CN71" s="367"/>
      <c r="CO71" s="367"/>
      <c r="CP71" s="1486"/>
      <c r="CQ71" s="1486"/>
      <c r="CR71" s="367"/>
      <c r="CS71" s="1486"/>
      <c r="CT71" s="1485"/>
      <c r="CU71" s="1485">
        <f t="shared" si="11"/>
        <v>0</v>
      </c>
      <c r="CV71" s="1486"/>
      <c r="CW71" s="1486"/>
      <c r="CX71" s="1486"/>
      <c r="CY71" s="1486"/>
      <c r="CZ71" s="1486"/>
    </row>
    <row r="72" spans="1:104" s="67" customFormat="1" ht="31.15" customHeight="1">
      <c r="A72" s="1130" t="s">
        <v>700</v>
      </c>
      <c r="B72" s="1131" t="s">
        <v>1111</v>
      </c>
      <c r="C72" s="44"/>
      <c r="D72" s="44"/>
      <c r="E72" s="44"/>
      <c r="F72" s="415"/>
      <c r="G72" s="415"/>
      <c r="H72" s="415">
        <f t="shared" si="0"/>
        <v>0</v>
      </c>
      <c r="I72" s="66">
        <v>1447100</v>
      </c>
      <c r="J72" s="49"/>
      <c r="K72" s="49"/>
      <c r="L72" s="49"/>
      <c r="M72" s="49"/>
      <c r="N72" s="66"/>
      <c r="O72" s="66"/>
      <c r="P72" s="49"/>
      <c r="Q72" s="66">
        <f t="shared" si="1"/>
        <v>250000</v>
      </c>
      <c r="R72" s="66">
        <v>250000</v>
      </c>
      <c r="S72" s="66"/>
      <c r="T72" s="66">
        <f t="shared" si="2"/>
        <v>0</v>
      </c>
      <c r="U72" s="66"/>
      <c r="V72" s="66"/>
      <c r="W72" s="51"/>
      <c r="X72" s="66">
        <f t="shared" si="3"/>
        <v>2900</v>
      </c>
      <c r="Y72" s="66">
        <v>2900</v>
      </c>
      <c r="Z72" s="66"/>
      <c r="AA72" s="66"/>
      <c r="AB72" s="49"/>
      <c r="AC72" s="49"/>
      <c r="AD72" s="90">
        <f t="shared" si="4"/>
        <v>0</v>
      </c>
      <c r="AE72" s="66"/>
      <c r="AF72" s="49"/>
      <c r="AG72" s="49"/>
      <c r="AH72" s="90">
        <f t="shared" si="5"/>
        <v>47000</v>
      </c>
      <c r="AI72" s="66">
        <v>35500</v>
      </c>
      <c r="AJ72" s="66">
        <v>11500</v>
      </c>
      <c r="AK72" s="66"/>
      <c r="AL72" s="66"/>
      <c r="AM72" s="66"/>
      <c r="AN72" s="66"/>
      <c r="AO72" s="66"/>
      <c r="AP72" s="90">
        <f t="shared" si="6"/>
        <v>163390</v>
      </c>
      <c r="AQ72" s="66">
        <v>41290</v>
      </c>
      <c r="AR72" s="66">
        <v>37500</v>
      </c>
      <c r="AS72" s="66">
        <v>81000</v>
      </c>
      <c r="AT72" s="66">
        <v>3600</v>
      </c>
      <c r="AU72" s="66"/>
      <c r="AV72" s="66"/>
      <c r="AW72" s="66"/>
      <c r="AX72" s="66"/>
      <c r="AY72" s="51"/>
      <c r="AZ72" s="66"/>
      <c r="BA72" s="66"/>
      <c r="BB72" s="49"/>
      <c r="BC72" s="66"/>
      <c r="BD72" s="66"/>
      <c r="BE72" s="49"/>
      <c r="BF72" s="49"/>
      <c r="BG72" s="66"/>
      <c r="BH72" s="90">
        <f t="shared" si="7"/>
        <v>44622</v>
      </c>
      <c r="BI72" s="90">
        <f>14922+29700</f>
        <v>44622</v>
      </c>
      <c r="BJ72" s="66"/>
      <c r="BK72" s="49"/>
      <c r="BL72" s="49"/>
      <c r="BM72" s="49"/>
      <c r="BN72" s="49"/>
      <c r="BO72" s="49"/>
      <c r="BP72" s="49"/>
      <c r="BQ72" s="66">
        <f t="shared" si="8"/>
        <v>0</v>
      </c>
      <c r="BR72" s="49"/>
      <c r="BS72" s="49"/>
      <c r="BT72" s="66"/>
      <c r="BU72" s="66"/>
      <c r="BV72" s="66"/>
      <c r="BW72" s="66"/>
      <c r="BX72" s="90">
        <f t="shared" si="25"/>
        <v>35968</v>
      </c>
      <c r="BY72" s="90">
        <v>35968</v>
      </c>
      <c r="BZ72" s="90"/>
      <c r="CA72" s="90"/>
      <c r="CB72" s="90"/>
      <c r="CC72" s="91"/>
      <c r="CD72" s="91"/>
      <c r="CE72" s="49"/>
      <c r="CF72" s="66">
        <f t="shared" si="17"/>
        <v>0</v>
      </c>
      <c r="CG72" s="49"/>
      <c r="CH72" s="66"/>
      <c r="CI72" s="51">
        <f t="shared" si="10"/>
        <v>1990980</v>
      </c>
      <c r="CJ72" s="81"/>
      <c r="CK72" s="367"/>
      <c r="CL72" s="367"/>
      <c r="CM72" s="81"/>
      <c r="CN72" s="367"/>
      <c r="CO72" s="367"/>
      <c r="CP72" s="1486"/>
      <c r="CQ72" s="1486"/>
      <c r="CR72" s="367"/>
      <c r="CS72" s="1486"/>
      <c r="CT72" s="1485"/>
      <c r="CU72" s="1485">
        <f t="shared" si="11"/>
        <v>0</v>
      </c>
      <c r="CV72" s="1486"/>
      <c r="CW72" s="1486"/>
      <c r="CX72" s="1486"/>
      <c r="CY72" s="1486"/>
      <c r="CZ72" s="1486"/>
    </row>
    <row r="73" spans="1:104" s="67" customFormat="1" ht="31.15" customHeight="1">
      <c r="A73" s="1130" t="s">
        <v>701</v>
      </c>
      <c r="B73" s="1131" t="s">
        <v>1112</v>
      </c>
      <c r="C73" s="44"/>
      <c r="D73" s="44"/>
      <c r="E73" s="44"/>
      <c r="F73" s="415"/>
      <c r="G73" s="415">
        <f>'дод 1.2'!E1829</f>
        <v>579150</v>
      </c>
      <c r="H73" s="415">
        <f t="shared" si="0"/>
        <v>579150</v>
      </c>
      <c r="I73" s="66">
        <v>1009000</v>
      </c>
      <c r="J73" s="49"/>
      <c r="K73" s="49"/>
      <c r="L73" s="49"/>
      <c r="M73" s="49"/>
      <c r="N73" s="66"/>
      <c r="O73" s="66"/>
      <c r="P73" s="49"/>
      <c r="Q73" s="66">
        <f t="shared" si="1"/>
        <v>0</v>
      </c>
      <c r="R73" s="66"/>
      <c r="S73" s="66"/>
      <c r="T73" s="66">
        <f t="shared" si="2"/>
        <v>0</v>
      </c>
      <c r="U73" s="66"/>
      <c r="V73" s="66"/>
      <c r="W73" s="51"/>
      <c r="X73" s="66">
        <f t="shared" si="3"/>
        <v>3500</v>
      </c>
      <c r="Y73" s="66">
        <v>3500</v>
      </c>
      <c r="Z73" s="66"/>
      <c r="AA73" s="66"/>
      <c r="AB73" s="49"/>
      <c r="AC73" s="49"/>
      <c r="AD73" s="90">
        <f t="shared" si="4"/>
        <v>0</v>
      </c>
      <c r="AE73" s="66"/>
      <c r="AF73" s="49"/>
      <c r="AG73" s="49"/>
      <c r="AH73" s="90">
        <f t="shared" si="5"/>
        <v>23500</v>
      </c>
      <c r="AI73" s="66">
        <v>17700</v>
      </c>
      <c r="AJ73" s="66">
        <v>5800</v>
      </c>
      <c r="AK73" s="66"/>
      <c r="AL73" s="66"/>
      <c r="AM73" s="66"/>
      <c r="AN73" s="66"/>
      <c r="AO73" s="66"/>
      <c r="AP73" s="90">
        <f t="shared" si="6"/>
        <v>76220</v>
      </c>
      <c r="AQ73" s="66">
        <v>19270</v>
      </c>
      <c r="AR73" s="66">
        <v>35000</v>
      </c>
      <c r="AS73" s="66">
        <v>20250</v>
      </c>
      <c r="AT73" s="66">
        <v>1700</v>
      </c>
      <c r="AU73" s="66"/>
      <c r="AV73" s="66">
        <v>5900</v>
      </c>
      <c r="AW73" s="66">
        <v>5900</v>
      </c>
      <c r="AX73" s="66"/>
      <c r="AY73" s="51"/>
      <c r="AZ73" s="66"/>
      <c r="BA73" s="66"/>
      <c r="BB73" s="49"/>
      <c r="BC73" s="66"/>
      <c r="BD73" s="66"/>
      <c r="BE73" s="49"/>
      <c r="BF73" s="49"/>
      <c r="BG73" s="66"/>
      <c r="BH73" s="90">
        <f t="shared" si="7"/>
        <v>0</v>
      </c>
      <c r="BI73" s="90">
        <v>0</v>
      </c>
      <c r="BJ73" s="66"/>
      <c r="BK73" s="49"/>
      <c r="BL73" s="49"/>
      <c r="BM73" s="49"/>
      <c r="BN73" s="49"/>
      <c r="BO73" s="49"/>
      <c r="BP73" s="49"/>
      <c r="BQ73" s="66">
        <f t="shared" si="8"/>
        <v>0</v>
      </c>
      <c r="BR73" s="49"/>
      <c r="BS73" s="49"/>
      <c r="BT73" s="66"/>
      <c r="BU73" s="66"/>
      <c r="BV73" s="66"/>
      <c r="BW73" s="66"/>
      <c r="BX73" s="90">
        <f t="shared" si="25"/>
        <v>30000</v>
      </c>
      <c r="BY73" s="90">
        <v>30000</v>
      </c>
      <c r="BZ73" s="90"/>
      <c r="CA73" s="90"/>
      <c r="CB73" s="90"/>
      <c r="CC73" s="91"/>
      <c r="CD73" s="91"/>
      <c r="CE73" s="49"/>
      <c r="CF73" s="66">
        <f t="shared" si="17"/>
        <v>0</v>
      </c>
      <c r="CG73" s="49"/>
      <c r="CH73" s="66"/>
      <c r="CI73" s="51">
        <f t="shared" si="10"/>
        <v>1148120</v>
      </c>
      <c r="CJ73" s="81"/>
      <c r="CK73" s="367"/>
      <c r="CL73" s="367"/>
      <c r="CM73" s="81"/>
      <c r="CN73" s="367"/>
      <c r="CO73" s="367"/>
      <c r="CP73" s="1486"/>
      <c r="CQ73" s="1486"/>
      <c r="CR73" s="367"/>
      <c r="CS73" s="1486"/>
      <c r="CT73" s="1485"/>
      <c r="CU73" s="1485">
        <f t="shared" si="11"/>
        <v>0</v>
      </c>
      <c r="CV73" s="1486"/>
      <c r="CW73" s="1486"/>
      <c r="CX73" s="1486"/>
      <c r="CY73" s="1486"/>
      <c r="CZ73" s="1486"/>
    </row>
    <row r="74" spans="1:104" s="67" customFormat="1" ht="31.15" customHeight="1">
      <c r="A74" s="1130" t="s">
        <v>702</v>
      </c>
      <c r="B74" s="1131" t="s">
        <v>1113</v>
      </c>
      <c r="C74" s="44"/>
      <c r="D74" s="44"/>
      <c r="E74" s="44"/>
      <c r="F74" s="415"/>
      <c r="G74" s="415"/>
      <c r="H74" s="415">
        <f t="shared" si="0"/>
        <v>0</v>
      </c>
      <c r="I74" s="66">
        <v>861400</v>
      </c>
      <c r="J74" s="49"/>
      <c r="K74" s="49"/>
      <c r="L74" s="49"/>
      <c r="M74" s="49"/>
      <c r="N74" s="66"/>
      <c r="O74" s="66"/>
      <c r="P74" s="49"/>
      <c r="Q74" s="66">
        <f t="shared" si="1"/>
        <v>450000</v>
      </c>
      <c r="R74" s="66">
        <v>450000</v>
      </c>
      <c r="S74" s="66"/>
      <c r="T74" s="66">
        <f t="shared" si="2"/>
        <v>0</v>
      </c>
      <c r="U74" s="66"/>
      <c r="V74" s="66"/>
      <c r="W74" s="51"/>
      <c r="X74" s="66">
        <f t="shared" si="3"/>
        <v>8400</v>
      </c>
      <c r="Y74" s="66">
        <v>8400</v>
      </c>
      <c r="Z74" s="66"/>
      <c r="AA74" s="66"/>
      <c r="AB74" s="49"/>
      <c r="AC74" s="49"/>
      <c r="AD74" s="90">
        <f t="shared" si="4"/>
        <v>0</v>
      </c>
      <c r="AE74" s="66"/>
      <c r="AF74" s="49"/>
      <c r="AG74" s="49"/>
      <c r="AH74" s="90">
        <f t="shared" si="5"/>
        <v>0</v>
      </c>
      <c r="AI74" s="66">
        <v>0</v>
      </c>
      <c r="AJ74" s="66"/>
      <c r="AK74" s="66"/>
      <c r="AL74" s="66"/>
      <c r="AM74" s="66"/>
      <c r="AN74" s="66"/>
      <c r="AO74" s="66"/>
      <c r="AP74" s="90">
        <f t="shared" si="6"/>
        <v>131090</v>
      </c>
      <c r="AQ74" s="66">
        <v>41290</v>
      </c>
      <c r="AR74" s="66">
        <v>46500</v>
      </c>
      <c r="AS74" s="66">
        <v>40500</v>
      </c>
      <c r="AT74" s="66">
        <v>2800</v>
      </c>
      <c r="AU74" s="66"/>
      <c r="AV74" s="66"/>
      <c r="AW74" s="66"/>
      <c r="AX74" s="66"/>
      <c r="AY74" s="51"/>
      <c r="AZ74" s="66"/>
      <c r="BA74" s="66"/>
      <c r="BB74" s="49"/>
      <c r="BC74" s="66"/>
      <c r="BD74" s="66"/>
      <c r="BE74" s="49"/>
      <c r="BF74" s="49"/>
      <c r="BG74" s="66"/>
      <c r="BH74" s="90">
        <f t="shared" si="7"/>
        <v>166000</v>
      </c>
      <c r="BI74" s="90">
        <v>55000</v>
      </c>
      <c r="BJ74" s="66">
        <v>111000</v>
      </c>
      <c r="BK74" s="49"/>
      <c r="BL74" s="49"/>
      <c r="BM74" s="49"/>
      <c r="BN74" s="49"/>
      <c r="BO74" s="49"/>
      <c r="BP74" s="49"/>
      <c r="BQ74" s="66">
        <f t="shared" si="8"/>
        <v>0</v>
      </c>
      <c r="BR74" s="49"/>
      <c r="BS74" s="49"/>
      <c r="BT74" s="66"/>
      <c r="BU74" s="66"/>
      <c r="BV74" s="66"/>
      <c r="BW74" s="66"/>
      <c r="BX74" s="90">
        <f t="shared" si="25"/>
        <v>120112</v>
      </c>
      <c r="BY74" s="90">
        <v>42112</v>
      </c>
      <c r="BZ74" s="90">
        <v>13000</v>
      </c>
      <c r="CA74" s="90"/>
      <c r="CB74" s="90"/>
      <c r="CC74" s="91"/>
      <c r="CD74" s="91"/>
      <c r="CE74" s="49"/>
      <c r="CF74" s="66">
        <f t="shared" si="17"/>
        <v>65000</v>
      </c>
      <c r="CG74" s="49"/>
      <c r="CH74" s="66">
        <v>65000</v>
      </c>
      <c r="CI74" s="51">
        <f t="shared" si="10"/>
        <v>1737002</v>
      </c>
      <c r="CJ74" s="81"/>
      <c r="CK74" s="367"/>
      <c r="CL74" s="367"/>
      <c r="CM74" s="81"/>
      <c r="CN74" s="367"/>
      <c r="CO74" s="367"/>
      <c r="CP74" s="1486"/>
      <c r="CQ74" s="1486"/>
      <c r="CR74" s="367"/>
      <c r="CS74" s="1486"/>
      <c r="CT74" s="1485"/>
      <c r="CU74" s="1485">
        <f t="shared" si="11"/>
        <v>0</v>
      </c>
      <c r="CV74" s="1486"/>
      <c r="CW74" s="1486"/>
      <c r="CX74" s="1486"/>
      <c r="CY74" s="1486"/>
      <c r="CZ74" s="1486"/>
    </row>
    <row r="75" spans="1:104" s="67" customFormat="1" ht="31.15" customHeight="1">
      <c r="A75" s="1130" t="s">
        <v>703</v>
      </c>
      <c r="B75" s="1131" t="s">
        <v>1114</v>
      </c>
      <c r="C75" s="44"/>
      <c r="D75" s="44"/>
      <c r="E75" s="44"/>
      <c r="F75" s="415">
        <f>'дод1.1'!E127</f>
        <v>400000</v>
      </c>
      <c r="G75" s="415"/>
      <c r="H75" s="415">
        <f t="shared" si="0"/>
        <v>400000</v>
      </c>
      <c r="I75" s="66">
        <v>1065300</v>
      </c>
      <c r="J75" s="49"/>
      <c r="K75" s="49"/>
      <c r="L75" s="49"/>
      <c r="M75" s="49"/>
      <c r="N75" s="66"/>
      <c r="O75" s="66"/>
      <c r="P75" s="49"/>
      <c r="Q75" s="66">
        <f t="shared" si="1"/>
        <v>230000</v>
      </c>
      <c r="R75" s="66">
        <v>200000</v>
      </c>
      <c r="S75" s="66"/>
      <c r="T75" s="66">
        <f t="shared" si="2"/>
        <v>30000</v>
      </c>
      <c r="U75" s="66">
        <v>30000</v>
      </c>
      <c r="V75" s="66"/>
      <c r="W75" s="51"/>
      <c r="X75" s="66">
        <f t="shared" si="3"/>
        <v>7900</v>
      </c>
      <c r="Y75" s="66">
        <v>7900</v>
      </c>
      <c r="Z75" s="66"/>
      <c r="AA75" s="66"/>
      <c r="AB75" s="49"/>
      <c r="AC75" s="49"/>
      <c r="AD75" s="90">
        <f t="shared" si="4"/>
        <v>0</v>
      </c>
      <c r="AE75" s="66"/>
      <c r="AF75" s="49"/>
      <c r="AG75" s="49"/>
      <c r="AH75" s="90">
        <f t="shared" si="5"/>
        <v>23500</v>
      </c>
      <c r="AI75" s="66">
        <v>17700</v>
      </c>
      <c r="AJ75" s="66">
        <v>5800</v>
      </c>
      <c r="AK75" s="66"/>
      <c r="AL75" s="66"/>
      <c r="AM75" s="66"/>
      <c r="AN75" s="66"/>
      <c r="AO75" s="66"/>
      <c r="AP75" s="90">
        <f t="shared" si="6"/>
        <v>165040</v>
      </c>
      <c r="AQ75" s="66">
        <v>41290</v>
      </c>
      <c r="AR75" s="66">
        <v>39750</v>
      </c>
      <c r="AS75" s="66">
        <v>81000</v>
      </c>
      <c r="AT75" s="66">
        <v>3000</v>
      </c>
      <c r="AU75" s="66"/>
      <c r="AV75" s="66"/>
      <c r="AW75" s="66"/>
      <c r="AX75" s="66"/>
      <c r="AY75" s="51"/>
      <c r="AZ75" s="66"/>
      <c r="BA75" s="66"/>
      <c r="BB75" s="49"/>
      <c r="BC75" s="66">
        <v>139400</v>
      </c>
      <c r="BD75" s="66"/>
      <c r="BE75" s="49"/>
      <c r="BF75" s="49"/>
      <c r="BG75" s="66"/>
      <c r="BH75" s="90">
        <f t="shared" si="7"/>
        <v>34520</v>
      </c>
      <c r="BI75" s="90">
        <v>34520</v>
      </c>
      <c r="BJ75" s="66"/>
      <c r="BK75" s="49"/>
      <c r="BL75" s="49"/>
      <c r="BM75" s="49"/>
      <c r="BN75" s="49"/>
      <c r="BO75" s="49"/>
      <c r="BP75" s="49"/>
      <c r="BQ75" s="66">
        <f t="shared" si="8"/>
        <v>0</v>
      </c>
      <c r="BR75" s="49"/>
      <c r="BS75" s="49"/>
      <c r="BT75" s="66"/>
      <c r="BU75" s="66"/>
      <c r="BV75" s="66"/>
      <c r="BW75" s="66"/>
      <c r="BX75" s="90">
        <f t="shared" si="25"/>
        <v>26000</v>
      </c>
      <c r="BY75" s="90">
        <v>26000</v>
      </c>
      <c r="BZ75" s="90"/>
      <c r="CA75" s="90"/>
      <c r="CB75" s="90"/>
      <c r="CC75" s="91"/>
      <c r="CD75" s="91"/>
      <c r="CE75" s="49"/>
      <c r="CF75" s="66">
        <f t="shared" si="17"/>
        <v>0</v>
      </c>
      <c r="CG75" s="49"/>
      <c r="CH75" s="66"/>
      <c r="CI75" s="51">
        <f t="shared" si="10"/>
        <v>1691660</v>
      </c>
      <c r="CJ75" s="81"/>
      <c r="CK75" s="367"/>
      <c r="CL75" s="367"/>
      <c r="CM75" s="81"/>
      <c r="CN75" s="367"/>
      <c r="CO75" s="367"/>
      <c r="CP75" s="1486"/>
      <c r="CQ75" s="1486"/>
      <c r="CR75" s="367"/>
      <c r="CS75" s="1486"/>
      <c r="CT75" s="1485"/>
      <c r="CU75" s="1485">
        <f t="shared" si="11"/>
        <v>0</v>
      </c>
      <c r="CV75" s="1486"/>
      <c r="CW75" s="1486"/>
      <c r="CX75" s="1486"/>
      <c r="CY75" s="1486"/>
      <c r="CZ75" s="1486"/>
    </row>
    <row r="76" spans="1:104" s="67" customFormat="1" ht="31.15" customHeight="1">
      <c r="A76" s="1130" t="s">
        <v>704</v>
      </c>
      <c r="B76" s="1131" t="s">
        <v>1115</v>
      </c>
      <c r="C76" s="44"/>
      <c r="D76" s="44"/>
      <c r="E76" s="44"/>
      <c r="F76" s="415">
        <f>'дод1.1'!E71</f>
        <v>1033886</v>
      </c>
      <c r="G76" s="415"/>
      <c r="H76" s="415">
        <f t="shared" si="0"/>
        <v>1033886</v>
      </c>
      <c r="I76" s="66">
        <v>1468300</v>
      </c>
      <c r="J76" s="49"/>
      <c r="K76" s="49"/>
      <c r="L76" s="49"/>
      <c r="M76" s="49"/>
      <c r="N76" s="66"/>
      <c r="O76" s="66"/>
      <c r="P76" s="49"/>
      <c r="Q76" s="66">
        <f t="shared" si="1"/>
        <v>0</v>
      </c>
      <c r="R76" s="66"/>
      <c r="S76" s="66"/>
      <c r="T76" s="66">
        <f t="shared" si="2"/>
        <v>0</v>
      </c>
      <c r="U76" s="66"/>
      <c r="V76" s="66"/>
      <c r="W76" s="51"/>
      <c r="X76" s="66">
        <f t="shared" si="3"/>
        <v>4600</v>
      </c>
      <c r="Y76" s="66">
        <v>4600</v>
      </c>
      <c r="Z76" s="66"/>
      <c r="AA76" s="66">
        <v>18400</v>
      </c>
      <c r="AB76" s="49"/>
      <c r="AC76" s="49"/>
      <c r="AD76" s="90">
        <f t="shared" si="4"/>
        <v>0</v>
      </c>
      <c r="AE76" s="66"/>
      <c r="AF76" s="49"/>
      <c r="AG76" s="49"/>
      <c r="AH76" s="90">
        <f t="shared" si="5"/>
        <v>47000</v>
      </c>
      <c r="AI76" s="66">
        <v>35500</v>
      </c>
      <c r="AJ76" s="66">
        <v>11500</v>
      </c>
      <c r="AK76" s="66"/>
      <c r="AL76" s="66"/>
      <c r="AM76" s="66"/>
      <c r="AN76" s="66"/>
      <c r="AO76" s="66"/>
      <c r="AP76" s="90">
        <f t="shared" si="6"/>
        <v>238310</v>
      </c>
      <c r="AQ76" s="66">
        <v>63310</v>
      </c>
      <c r="AR76" s="66">
        <v>48000</v>
      </c>
      <c r="AS76" s="66">
        <v>121500</v>
      </c>
      <c r="AT76" s="66">
        <v>5500</v>
      </c>
      <c r="AU76" s="66"/>
      <c r="AV76" s="66"/>
      <c r="AW76" s="66"/>
      <c r="AX76" s="66"/>
      <c r="AY76" s="51"/>
      <c r="AZ76" s="66"/>
      <c r="BA76" s="66"/>
      <c r="BB76" s="49"/>
      <c r="BC76" s="66"/>
      <c r="BD76" s="66"/>
      <c r="BE76" s="49"/>
      <c r="BF76" s="49"/>
      <c r="BG76" s="66"/>
      <c r="BH76" s="90">
        <f t="shared" si="7"/>
        <v>47700</v>
      </c>
      <c r="BI76" s="90">
        <v>0</v>
      </c>
      <c r="BJ76" s="66">
        <v>47700</v>
      </c>
      <c r="BK76" s="49"/>
      <c r="BL76" s="49"/>
      <c r="BM76" s="49"/>
      <c r="BN76" s="49"/>
      <c r="BO76" s="49"/>
      <c r="BP76" s="49"/>
      <c r="BQ76" s="66">
        <f t="shared" si="8"/>
        <v>0</v>
      </c>
      <c r="BR76" s="66"/>
      <c r="BS76" s="49"/>
      <c r="BT76" s="66"/>
      <c r="BU76" s="66"/>
      <c r="BV76" s="66"/>
      <c r="BW76" s="66"/>
      <c r="BX76" s="90">
        <f t="shared" si="25"/>
        <v>0</v>
      </c>
      <c r="BY76" s="90">
        <v>0</v>
      </c>
      <c r="BZ76" s="90"/>
      <c r="CA76" s="90"/>
      <c r="CB76" s="90"/>
      <c r="CC76" s="91"/>
      <c r="CD76" s="91"/>
      <c r="CE76" s="49"/>
      <c r="CF76" s="66">
        <f t="shared" si="17"/>
        <v>0</v>
      </c>
      <c r="CG76" s="49"/>
      <c r="CH76" s="66"/>
      <c r="CI76" s="51">
        <f t="shared" si="10"/>
        <v>1824310</v>
      </c>
      <c r="CJ76" s="81"/>
      <c r="CK76" s="367"/>
      <c r="CL76" s="367"/>
      <c r="CM76" s="81"/>
      <c r="CN76" s="367"/>
      <c r="CO76" s="367"/>
      <c r="CP76" s="1486"/>
      <c r="CQ76" s="1486"/>
      <c r="CR76" s="367"/>
      <c r="CS76" s="1486"/>
      <c r="CT76" s="1485"/>
      <c r="CU76" s="1485">
        <f t="shared" si="11"/>
        <v>0</v>
      </c>
      <c r="CV76" s="1486"/>
      <c r="CW76" s="1486"/>
      <c r="CX76" s="1486"/>
      <c r="CY76" s="1486"/>
      <c r="CZ76" s="1486"/>
    </row>
    <row r="77" spans="1:104" s="67" customFormat="1" ht="31.15" customHeight="1">
      <c r="A77" s="1130" t="s">
        <v>705</v>
      </c>
      <c r="B77" s="1131" t="s">
        <v>1116</v>
      </c>
      <c r="C77" s="44"/>
      <c r="D77" s="44"/>
      <c r="E77" s="44"/>
      <c r="F77" s="415">
        <f>'дод1.1'!E16</f>
        <v>320000</v>
      </c>
      <c r="G77" s="415">
        <f>'дод 1.2'!E1840</f>
        <v>14000</v>
      </c>
      <c r="H77" s="415">
        <f t="shared" si="0"/>
        <v>334000</v>
      </c>
      <c r="I77" s="66">
        <v>2742900</v>
      </c>
      <c r="J77" s="49"/>
      <c r="K77" s="49"/>
      <c r="L77" s="49"/>
      <c r="M77" s="49"/>
      <c r="N77" s="66"/>
      <c r="O77" s="66"/>
      <c r="P77" s="49"/>
      <c r="Q77" s="66">
        <f t="shared" si="1"/>
        <v>382860</v>
      </c>
      <c r="R77" s="66">
        <v>250000</v>
      </c>
      <c r="S77" s="66">
        <v>132860</v>
      </c>
      <c r="T77" s="66">
        <f t="shared" si="2"/>
        <v>0</v>
      </c>
      <c r="U77" s="66"/>
      <c r="V77" s="66"/>
      <c r="W77" s="51"/>
      <c r="X77" s="66">
        <f t="shared" si="3"/>
        <v>12200</v>
      </c>
      <c r="Y77" s="66">
        <v>12200</v>
      </c>
      <c r="Z77" s="66"/>
      <c r="AA77" s="66">
        <f>70100+4148</f>
        <v>74248</v>
      </c>
      <c r="AB77" s="49"/>
      <c r="AC77" s="49"/>
      <c r="AD77" s="90">
        <f t="shared" si="4"/>
        <v>0</v>
      </c>
      <c r="AE77" s="66"/>
      <c r="AF77" s="49"/>
      <c r="AG77" s="49"/>
      <c r="AH77" s="90">
        <f t="shared" si="5"/>
        <v>188000</v>
      </c>
      <c r="AI77" s="66">
        <v>141900</v>
      </c>
      <c r="AJ77" s="66">
        <v>46100</v>
      </c>
      <c r="AK77" s="66"/>
      <c r="AL77" s="66"/>
      <c r="AM77" s="66"/>
      <c r="AN77" s="66"/>
      <c r="AO77" s="66"/>
      <c r="AP77" s="90">
        <f t="shared" si="6"/>
        <v>248170</v>
      </c>
      <c r="AQ77" s="66">
        <v>55060</v>
      </c>
      <c r="AR77" s="66">
        <v>87760</v>
      </c>
      <c r="AS77" s="66">
        <v>101250</v>
      </c>
      <c r="AT77" s="66">
        <v>4100</v>
      </c>
      <c r="AU77" s="66"/>
      <c r="AV77" s="66"/>
      <c r="AW77" s="66"/>
      <c r="AX77" s="66"/>
      <c r="AY77" s="51"/>
      <c r="AZ77" s="66"/>
      <c r="BA77" s="66"/>
      <c r="BB77" s="49"/>
      <c r="BC77" s="66"/>
      <c r="BD77" s="66"/>
      <c r="BE77" s="49"/>
      <c r="BF77" s="49"/>
      <c r="BG77" s="66"/>
      <c r="BH77" s="90">
        <f t="shared" si="7"/>
        <v>0</v>
      </c>
      <c r="BI77" s="90">
        <v>0</v>
      </c>
      <c r="BJ77" s="66"/>
      <c r="BK77" s="49"/>
      <c r="BL77" s="49"/>
      <c r="BM77" s="49"/>
      <c r="BN77" s="49"/>
      <c r="BO77" s="49"/>
      <c r="BP77" s="49"/>
      <c r="BQ77" s="66">
        <f t="shared" si="8"/>
        <v>0</v>
      </c>
      <c r="BR77" s="49"/>
      <c r="BS77" s="49"/>
      <c r="BT77" s="66"/>
      <c r="BU77" s="66"/>
      <c r="BV77" s="66"/>
      <c r="BW77" s="66"/>
      <c r="BX77" s="90">
        <f t="shared" si="25"/>
        <v>0</v>
      </c>
      <c r="BY77" s="90">
        <v>0</v>
      </c>
      <c r="BZ77" s="90"/>
      <c r="CA77" s="90"/>
      <c r="CB77" s="90"/>
      <c r="CC77" s="91"/>
      <c r="CD77" s="91"/>
      <c r="CE77" s="49"/>
      <c r="CF77" s="66">
        <f t="shared" si="17"/>
        <v>0</v>
      </c>
      <c r="CG77" s="66"/>
      <c r="CH77" s="66"/>
      <c r="CI77" s="51">
        <f t="shared" si="10"/>
        <v>3648378</v>
      </c>
      <c r="CJ77" s="81"/>
      <c r="CK77" s="367"/>
      <c r="CL77" s="367"/>
      <c r="CM77" s="81"/>
      <c r="CN77" s="367"/>
      <c r="CO77" s="367"/>
      <c r="CP77" s="1486"/>
      <c r="CQ77" s="1486"/>
      <c r="CR77" s="367"/>
      <c r="CS77" s="1486"/>
      <c r="CT77" s="1485"/>
      <c r="CU77" s="1485">
        <f t="shared" si="11"/>
        <v>0</v>
      </c>
      <c r="CV77" s="1486"/>
      <c r="CW77" s="1486"/>
      <c r="CX77" s="1486"/>
      <c r="CY77" s="1486"/>
      <c r="CZ77" s="1486"/>
    </row>
    <row r="78" spans="1:104" s="67" customFormat="1" ht="31.15" customHeight="1">
      <c r="A78" s="1130" t="s">
        <v>706</v>
      </c>
      <c r="B78" s="1131" t="s">
        <v>1117</v>
      </c>
      <c r="C78" s="44"/>
      <c r="D78" s="44"/>
      <c r="E78" s="44"/>
      <c r="F78" s="415">
        <f>'дод1.1'!E24</f>
        <v>783411</v>
      </c>
      <c r="G78" s="415">
        <f>'дод 1.2'!E1851</f>
        <v>14000</v>
      </c>
      <c r="H78" s="415">
        <f t="shared" si="0"/>
        <v>797411</v>
      </c>
      <c r="I78" s="66">
        <v>919100</v>
      </c>
      <c r="J78" s="49"/>
      <c r="K78" s="49"/>
      <c r="L78" s="49"/>
      <c r="M78" s="49"/>
      <c r="N78" s="66"/>
      <c r="O78" s="66"/>
      <c r="P78" s="49"/>
      <c r="Q78" s="66">
        <f t="shared" si="1"/>
        <v>0</v>
      </c>
      <c r="R78" s="66"/>
      <c r="S78" s="66"/>
      <c r="T78" s="66">
        <f t="shared" si="2"/>
        <v>0</v>
      </c>
      <c r="U78" s="66"/>
      <c r="V78" s="66"/>
      <c r="W78" s="51"/>
      <c r="X78" s="66">
        <f t="shared" si="3"/>
        <v>11300</v>
      </c>
      <c r="Y78" s="66">
        <v>11300</v>
      </c>
      <c r="Z78" s="66"/>
      <c r="AA78" s="66"/>
      <c r="AB78" s="49"/>
      <c r="AC78" s="49"/>
      <c r="AD78" s="90">
        <f t="shared" si="4"/>
        <v>884960</v>
      </c>
      <c r="AE78" s="66">
        <f>1040760-155800</f>
        <v>884960</v>
      </c>
      <c r="AF78" s="49"/>
      <c r="AG78" s="49"/>
      <c r="AH78" s="90">
        <f t="shared" si="5"/>
        <v>47000</v>
      </c>
      <c r="AI78" s="66">
        <v>35500</v>
      </c>
      <c r="AJ78" s="66">
        <v>11500</v>
      </c>
      <c r="AK78" s="66"/>
      <c r="AL78" s="66"/>
      <c r="AM78" s="66"/>
      <c r="AN78" s="66"/>
      <c r="AO78" s="66"/>
      <c r="AP78" s="90">
        <f t="shared" si="6"/>
        <v>243950</v>
      </c>
      <c r="AQ78" s="66">
        <v>44040</v>
      </c>
      <c r="AR78" s="66">
        <v>74510</v>
      </c>
      <c r="AS78" s="66">
        <v>121500</v>
      </c>
      <c r="AT78" s="66">
        <v>3900</v>
      </c>
      <c r="AU78" s="66"/>
      <c r="AV78" s="66"/>
      <c r="AW78" s="66"/>
      <c r="AX78" s="66"/>
      <c r="AY78" s="51"/>
      <c r="AZ78" s="66"/>
      <c r="BA78" s="66"/>
      <c r="BB78" s="49"/>
      <c r="BC78" s="66">
        <v>212300</v>
      </c>
      <c r="BD78" s="66"/>
      <c r="BE78" s="49"/>
      <c r="BF78" s="49"/>
      <c r="BG78" s="66"/>
      <c r="BH78" s="90">
        <f t="shared" si="7"/>
        <v>0</v>
      </c>
      <c r="BI78" s="90">
        <v>0</v>
      </c>
      <c r="BJ78" s="66"/>
      <c r="BK78" s="49"/>
      <c r="BL78" s="49"/>
      <c r="BM78" s="49"/>
      <c r="BN78" s="49"/>
      <c r="BO78" s="49"/>
      <c r="BP78" s="49"/>
      <c r="BQ78" s="66">
        <f t="shared" si="8"/>
        <v>0</v>
      </c>
      <c r="BR78" s="49"/>
      <c r="BS78" s="49"/>
      <c r="BT78" s="66"/>
      <c r="BU78" s="66"/>
      <c r="BV78" s="66"/>
      <c r="BW78" s="66"/>
      <c r="BX78" s="90">
        <f t="shared" si="25"/>
        <v>0</v>
      </c>
      <c r="BY78" s="90">
        <v>0</v>
      </c>
      <c r="BZ78" s="90"/>
      <c r="CA78" s="90"/>
      <c r="CB78" s="90"/>
      <c r="CC78" s="91"/>
      <c r="CD78" s="91"/>
      <c r="CE78" s="49"/>
      <c r="CF78" s="66">
        <f t="shared" si="17"/>
        <v>0</v>
      </c>
      <c r="CG78" s="49"/>
      <c r="CH78" s="66"/>
      <c r="CI78" s="51">
        <f t="shared" si="10"/>
        <v>2318610</v>
      </c>
      <c r="CJ78" s="81"/>
      <c r="CK78" s="367"/>
      <c r="CL78" s="367"/>
      <c r="CM78" s="81"/>
      <c r="CN78" s="367"/>
      <c r="CO78" s="367"/>
      <c r="CP78" s="1486"/>
      <c r="CQ78" s="1486"/>
      <c r="CR78" s="367"/>
      <c r="CS78" s="1486"/>
      <c r="CT78" s="1485"/>
      <c r="CU78" s="1485">
        <f t="shared" si="11"/>
        <v>0</v>
      </c>
      <c r="CV78" s="1486"/>
      <c r="CW78" s="1486"/>
      <c r="CX78" s="1486"/>
      <c r="CY78" s="1486"/>
      <c r="CZ78" s="1486"/>
    </row>
    <row r="79" spans="1:104" s="67" customFormat="1" ht="31.15" customHeight="1">
      <c r="A79" s="1130" t="s">
        <v>707</v>
      </c>
      <c r="B79" s="1131" t="s">
        <v>1118</v>
      </c>
      <c r="C79" s="44"/>
      <c r="D79" s="44"/>
      <c r="E79" s="44"/>
      <c r="F79" s="415"/>
      <c r="G79" s="415"/>
      <c r="H79" s="415">
        <f t="shared" si="0"/>
        <v>0</v>
      </c>
      <c r="I79" s="66">
        <v>651700</v>
      </c>
      <c r="J79" s="49"/>
      <c r="K79" s="49"/>
      <c r="L79" s="49"/>
      <c r="M79" s="49"/>
      <c r="N79" s="66"/>
      <c r="O79" s="66"/>
      <c r="P79" s="49"/>
      <c r="Q79" s="66">
        <f t="shared" si="1"/>
        <v>0</v>
      </c>
      <c r="R79" s="66"/>
      <c r="S79" s="66"/>
      <c r="T79" s="66">
        <f t="shared" si="2"/>
        <v>0</v>
      </c>
      <c r="U79" s="66"/>
      <c r="V79" s="66"/>
      <c r="W79" s="51"/>
      <c r="X79" s="66">
        <f t="shared" si="3"/>
        <v>5800</v>
      </c>
      <c r="Y79" s="66">
        <v>5800</v>
      </c>
      <c r="Z79" s="66"/>
      <c r="AA79" s="66"/>
      <c r="AB79" s="49"/>
      <c r="AC79" s="49"/>
      <c r="AD79" s="90">
        <f t="shared" si="4"/>
        <v>0</v>
      </c>
      <c r="AE79" s="66"/>
      <c r="AF79" s="49"/>
      <c r="AG79" s="49"/>
      <c r="AH79" s="90">
        <f t="shared" si="5"/>
        <v>70500</v>
      </c>
      <c r="AI79" s="66">
        <v>53200</v>
      </c>
      <c r="AJ79" s="66">
        <v>17300</v>
      </c>
      <c r="AK79" s="66"/>
      <c r="AL79" s="66"/>
      <c r="AM79" s="66"/>
      <c r="AN79" s="66"/>
      <c r="AO79" s="66"/>
      <c r="AP79" s="90">
        <f t="shared" si="6"/>
        <v>238060</v>
      </c>
      <c r="AQ79" s="66">
        <v>55060</v>
      </c>
      <c r="AR79" s="66">
        <v>56000</v>
      </c>
      <c r="AS79" s="66">
        <v>121500</v>
      </c>
      <c r="AT79" s="66">
        <v>5500</v>
      </c>
      <c r="AU79" s="66"/>
      <c r="AV79" s="66">
        <v>200900</v>
      </c>
      <c r="AW79" s="66">
        <v>200900</v>
      </c>
      <c r="AX79" s="66"/>
      <c r="AY79" s="51"/>
      <c r="AZ79" s="66"/>
      <c r="BA79" s="66"/>
      <c r="BB79" s="49"/>
      <c r="BC79" s="66"/>
      <c r="BD79" s="66"/>
      <c r="BE79" s="49"/>
      <c r="BF79" s="49"/>
      <c r="BG79" s="66"/>
      <c r="BH79" s="90">
        <f t="shared" si="7"/>
        <v>0</v>
      </c>
      <c r="BI79" s="90">
        <v>0</v>
      </c>
      <c r="BJ79" s="66"/>
      <c r="BK79" s="49"/>
      <c r="BL79" s="49"/>
      <c r="BM79" s="49"/>
      <c r="BN79" s="49"/>
      <c r="BO79" s="49"/>
      <c r="BP79" s="49"/>
      <c r="BQ79" s="66">
        <f t="shared" si="8"/>
        <v>0</v>
      </c>
      <c r="BR79" s="49"/>
      <c r="BS79" s="49"/>
      <c r="BT79" s="66"/>
      <c r="BU79" s="66"/>
      <c r="BV79" s="66"/>
      <c r="BW79" s="66"/>
      <c r="BX79" s="90">
        <f t="shared" si="25"/>
        <v>0</v>
      </c>
      <c r="BY79" s="90">
        <v>0</v>
      </c>
      <c r="BZ79" s="90"/>
      <c r="CA79" s="90"/>
      <c r="CB79" s="90"/>
      <c r="CC79" s="91"/>
      <c r="CD79" s="91"/>
      <c r="CE79" s="49"/>
      <c r="CF79" s="66">
        <f t="shared" si="17"/>
        <v>0</v>
      </c>
      <c r="CG79" s="49"/>
      <c r="CH79" s="49"/>
      <c r="CI79" s="51">
        <f t="shared" si="10"/>
        <v>1166960</v>
      </c>
      <c r="CJ79" s="81"/>
      <c r="CK79" s="367"/>
      <c r="CL79" s="367"/>
      <c r="CM79" s="81"/>
      <c r="CN79" s="367"/>
      <c r="CO79" s="367"/>
      <c r="CP79" s="1486"/>
      <c r="CQ79" s="1486"/>
      <c r="CR79" s="367"/>
      <c r="CS79" s="1486"/>
      <c r="CT79" s="1485"/>
      <c r="CU79" s="1485">
        <f t="shared" si="11"/>
        <v>0</v>
      </c>
      <c r="CV79" s="1486"/>
      <c r="CW79" s="1486"/>
      <c r="CX79" s="1486"/>
      <c r="CY79" s="1486"/>
      <c r="CZ79" s="1486"/>
    </row>
    <row r="80" spans="1:104" s="67" customFormat="1" ht="31.15" customHeight="1">
      <c r="A80" s="1130" t="s">
        <v>708</v>
      </c>
      <c r="B80" s="1131" t="s">
        <v>1119</v>
      </c>
      <c r="C80" s="44"/>
      <c r="D80" s="44"/>
      <c r="E80" s="415">
        <f>585000+720000</f>
        <v>1305000</v>
      </c>
      <c r="F80" s="415"/>
      <c r="G80" s="415">
        <f>'дод 1.2'!E1820</f>
        <v>28000</v>
      </c>
      <c r="H80" s="415">
        <f t="shared" si="0"/>
        <v>1333000</v>
      </c>
      <c r="I80" s="66">
        <v>7520900</v>
      </c>
      <c r="J80" s="49"/>
      <c r="K80" s="49"/>
      <c r="L80" s="49"/>
      <c r="M80" s="49"/>
      <c r="N80" s="66"/>
      <c r="O80" s="66"/>
      <c r="P80" s="49"/>
      <c r="Q80" s="66">
        <f t="shared" si="1"/>
        <v>1250000</v>
      </c>
      <c r="R80" s="66">
        <v>1250000</v>
      </c>
      <c r="S80" s="49"/>
      <c r="T80" s="66">
        <f t="shared" si="2"/>
        <v>0</v>
      </c>
      <c r="U80" s="49"/>
      <c r="V80" s="49"/>
      <c r="W80" s="51"/>
      <c r="X80" s="66">
        <f t="shared" si="3"/>
        <v>20100</v>
      </c>
      <c r="Y80" s="66">
        <v>20100</v>
      </c>
      <c r="Z80" s="66"/>
      <c r="AA80" s="66"/>
      <c r="AB80" s="49"/>
      <c r="AC80" s="49"/>
      <c r="AD80" s="90">
        <f t="shared" si="4"/>
        <v>884960</v>
      </c>
      <c r="AE80" s="66">
        <f>1040760-155800</f>
        <v>884960</v>
      </c>
      <c r="AF80" s="49"/>
      <c r="AG80" s="49"/>
      <c r="AH80" s="90">
        <f t="shared" si="5"/>
        <v>141000</v>
      </c>
      <c r="AI80" s="66">
        <v>106400</v>
      </c>
      <c r="AJ80" s="66">
        <v>34600</v>
      </c>
      <c r="AK80" s="66"/>
      <c r="AL80" s="66"/>
      <c r="AM80" s="66"/>
      <c r="AN80" s="66"/>
      <c r="AO80" s="66"/>
      <c r="AP80" s="90">
        <f t="shared" si="6"/>
        <v>843060</v>
      </c>
      <c r="AQ80" s="66">
        <v>198200</v>
      </c>
      <c r="AR80" s="66">
        <v>216760</v>
      </c>
      <c r="AS80" s="66">
        <v>405000</v>
      </c>
      <c r="AT80" s="66">
        <v>23100</v>
      </c>
      <c r="AU80" s="66"/>
      <c r="AV80" s="66">
        <v>268908</v>
      </c>
      <c r="AW80" s="66">
        <v>268908</v>
      </c>
      <c r="AX80" s="66"/>
      <c r="AY80" s="51"/>
      <c r="AZ80" s="66"/>
      <c r="BA80" s="66"/>
      <c r="BB80" s="49"/>
      <c r="BC80" s="49"/>
      <c r="BD80" s="49"/>
      <c r="BE80" s="933"/>
      <c r="BF80" s="49"/>
      <c r="BG80" s="49"/>
      <c r="BH80" s="90">
        <f t="shared" si="7"/>
        <v>57000</v>
      </c>
      <c r="BI80" s="90">
        <v>7000</v>
      </c>
      <c r="BJ80" s="66">
        <v>50000</v>
      </c>
      <c r="BK80" s="49"/>
      <c r="BL80" s="49"/>
      <c r="BM80" s="49"/>
      <c r="BN80" s="49"/>
      <c r="BO80" s="49"/>
      <c r="BP80" s="49"/>
      <c r="BQ80" s="66">
        <f t="shared" si="8"/>
        <v>0</v>
      </c>
      <c r="BR80" s="49"/>
      <c r="BS80" s="49"/>
      <c r="BT80" s="49"/>
      <c r="BU80" s="49"/>
      <c r="BV80" s="49"/>
      <c r="BW80" s="66">
        <v>500000</v>
      </c>
      <c r="BX80" s="90">
        <f t="shared" si="25"/>
        <v>48810</v>
      </c>
      <c r="BY80" s="90">
        <v>48810</v>
      </c>
      <c r="BZ80" s="90"/>
      <c r="CA80" s="90"/>
      <c r="CB80" s="90"/>
      <c r="CC80" s="91"/>
      <c r="CD80" s="91"/>
      <c r="CE80" s="66"/>
      <c r="CF80" s="66">
        <f t="shared" si="17"/>
        <v>0</v>
      </c>
      <c r="CG80" s="49"/>
      <c r="CH80" s="49"/>
      <c r="CI80" s="51">
        <f t="shared" si="10"/>
        <v>11534738</v>
      </c>
      <c r="CJ80" s="81"/>
      <c r="CK80" s="367"/>
      <c r="CL80" s="367"/>
      <c r="CM80" s="81"/>
      <c r="CN80" s="367"/>
      <c r="CO80" s="367"/>
      <c r="CP80" s="1486"/>
      <c r="CQ80" s="1486"/>
      <c r="CR80" s="367"/>
      <c r="CS80" s="1486"/>
      <c r="CT80" s="1485"/>
      <c r="CU80" s="1485">
        <f t="shared" si="11"/>
        <v>0</v>
      </c>
      <c r="CV80" s="1486"/>
      <c r="CW80" s="1486"/>
      <c r="CX80" s="1486"/>
      <c r="CY80" s="1486"/>
      <c r="CZ80" s="1486"/>
    </row>
    <row r="81" spans="1:104" s="67" customFormat="1" ht="31.15" customHeight="1">
      <c r="A81" s="1130" t="s">
        <v>709</v>
      </c>
      <c r="B81" s="1131" t="s">
        <v>1120</v>
      </c>
      <c r="C81" s="44"/>
      <c r="D81" s="44"/>
      <c r="E81" s="44"/>
      <c r="F81" s="415">
        <f>'дод1.1'!E98</f>
        <v>1000000</v>
      </c>
      <c r="G81" s="415">
        <f>'дод 1.2'!E1899</f>
        <v>729150</v>
      </c>
      <c r="H81" s="415">
        <f t="shared" si="0"/>
        <v>1729150</v>
      </c>
      <c r="I81" s="66">
        <v>6168200</v>
      </c>
      <c r="J81" s="49"/>
      <c r="K81" s="49"/>
      <c r="L81" s="49"/>
      <c r="M81" s="49"/>
      <c r="N81" s="66"/>
      <c r="O81" s="66"/>
      <c r="P81" s="49"/>
      <c r="Q81" s="66">
        <f t="shared" si="1"/>
        <v>85000</v>
      </c>
      <c r="R81" s="49"/>
      <c r="S81" s="49"/>
      <c r="T81" s="66">
        <f t="shared" si="2"/>
        <v>85000</v>
      </c>
      <c r="U81" s="49"/>
      <c r="V81" s="66">
        <v>85000</v>
      </c>
      <c r="W81" s="51"/>
      <c r="X81" s="66">
        <f t="shared" si="3"/>
        <v>7600</v>
      </c>
      <c r="Y81" s="66">
        <v>7600</v>
      </c>
      <c r="Z81" s="66"/>
      <c r="AA81" s="66"/>
      <c r="AB81" s="49"/>
      <c r="AC81" s="49"/>
      <c r="AD81" s="90">
        <f t="shared" si="4"/>
        <v>1040760</v>
      </c>
      <c r="AE81" s="66">
        <v>1040760</v>
      </c>
      <c r="AF81" s="49"/>
      <c r="AG81" s="49"/>
      <c r="AH81" s="90">
        <f t="shared" si="5"/>
        <v>86700</v>
      </c>
      <c r="AI81" s="66">
        <v>17700</v>
      </c>
      <c r="AJ81" s="66">
        <v>5800</v>
      </c>
      <c r="AK81" s="66"/>
      <c r="AL81" s="66">
        <v>40900</v>
      </c>
      <c r="AM81" s="66">
        <v>22300</v>
      </c>
      <c r="AN81" s="66"/>
      <c r="AO81" s="66"/>
      <c r="AP81" s="90">
        <f t="shared" si="6"/>
        <v>869370</v>
      </c>
      <c r="AQ81" s="66">
        <v>206460</v>
      </c>
      <c r="AR81" s="66">
        <v>200510</v>
      </c>
      <c r="AS81" s="66">
        <v>445500</v>
      </c>
      <c r="AT81" s="66">
        <v>16900</v>
      </c>
      <c r="AU81" s="66"/>
      <c r="AV81" s="66">
        <v>185000</v>
      </c>
      <c r="AW81" s="66">
        <v>185000</v>
      </c>
      <c r="AX81" s="66"/>
      <c r="AY81" s="51"/>
      <c r="AZ81" s="66"/>
      <c r="BA81" s="66"/>
      <c r="BB81" s="49"/>
      <c r="BC81" s="49"/>
      <c r="BD81" s="49"/>
      <c r="BE81" s="933"/>
      <c r="BF81" s="49"/>
      <c r="BG81" s="49"/>
      <c r="BH81" s="90">
        <f t="shared" si="7"/>
        <v>152000</v>
      </c>
      <c r="BI81" s="90">
        <v>62000</v>
      </c>
      <c r="BJ81" s="66">
        <v>90000</v>
      </c>
      <c r="BK81" s="49"/>
      <c r="BL81" s="49"/>
      <c r="BM81" s="49"/>
      <c r="BN81" s="49"/>
      <c r="BO81" s="49"/>
      <c r="BP81" s="49"/>
      <c r="BQ81" s="66">
        <f t="shared" si="8"/>
        <v>0</v>
      </c>
      <c r="BR81" s="49"/>
      <c r="BS81" s="49"/>
      <c r="BT81" s="49"/>
      <c r="BU81" s="49"/>
      <c r="BV81" s="49"/>
      <c r="BW81" s="66">
        <v>208000</v>
      </c>
      <c r="BX81" s="90">
        <f t="shared" si="25"/>
        <v>135332</v>
      </c>
      <c r="BY81" s="90">
        <v>60332</v>
      </c>
      <c r="BZ81" s="90"/>
      <c r="CA81" s="90"/>
      <c r="CB81" s="90"/>
      <c r="CC81" s="91"/>
      <c r="CD81" s="91"/>
      <c r="CE81" s="49"/>
      <c r="CF81" s="66">
        <f t="shared" si="17"/>
        <v>75000</v>
      </c>
      <c r="CG81" s="49"/>
      <c r="CH81" s="66">
        <v>75000</v>
      </c>
      <c r="CI81" s="51">
        <f t="shared" si="10"/>
        <v>8937962</v>
      </c>
      <c r="CJ81" s="81"/>
      <c r="CK81" s="367"/>
      <c r="CL81" s="367"/>
      <c r="CM81" s="81"/>
      <c r="CN81" s="367"/>
      <c r="CO81" s="367"/>
      <c r="CP81" s="1486"/>
      <c r="CQ81" s="1486"/>
      <c r="CR81" s="367"/>
      <c r="CS81" s="1486"/>
      <c r="CT81" s="1485"/>
      <c r="CU81" s="1485">
        <f t="shared" si="11"/>
        <v>0</v>
      </c>
      <c r="CV81" s="1486"/>
      <c r="CW81" s="1486"/>
      <c r="CX81" s="1486"/>
      <c r="CY81" s="1486"/>
      <c r="CZ81" s="1486"/>
    </row>
    <row r="82" spans="1:104" s="67" customFormat="1" ht="31.15" customHeight="1">
      <c r="A82" s="1130" t="s">
        <v>710</v>
      </c>
      <c r="B82" s="1131" t="s">
        <v>1121</v>
      </c>
      <c r="C82" s="44"/>
      <c r="D82" s="44"/>
      <c r="E82" s="44"/>
      <c r="F82" s="415"/>
      <c r="G82" s="415"/>
      <c r="H82" s="415">
        <f t="shared" si="0"/>
        <v>0</v>
      </c>
      <c r="I82" s="66">
        <v>2950900</v>
      </c>
      <c r="J82" s="49"/>
      <c r="K82" s="49"/>
      <c r="L82" s="49"/>
      <c r="M82" s="49"/>
      <c r="N82" s="66"/>
      <c r="O82" s="66"/>
      <c r="P82" s="49"/>
      <c r="Q82" s="66">
        <f t="shared" si="1"/>
        <v>382860</v>
      </c>
      <c r="R82" s="66">
        <v>250000</v>
      </c>
      <c r="S82" s="66">
        <v>132860</v>
      </c>
      <c r="T82" s="66">
        <f t="shared" si="2"/>
        <v>0</v>
      </c>
      <c r="U82" s="66"/>
      <c r="V82" s="66"/>
      <c r="W82" s="51"/>
      <c r="X82" s="66">
        <f t="shared" si="3"/>
        <v>16000</v>
      </c>
      <c r="Y82" s="66">
        <v>16000</v>
      </c>
      <c r="Z82" s="66"/>
      <c r="AA82" s="66"/>
      <c r="AB82" s="49"/>
      <c r="AC82" s="49"/>
      <c r="AD82" s="90">
        <f t="shared" si="4"/>
        <v>0</v>
      </c>
      <c r="AE82" s="66"/>
      <c r="AF82" s="49"/>
      <c r="AG82" s="49"/>
      <c r="AH82" s="90">
        <f t="shared" si="5"/>
        <v>188000</v>
      </c>
      <c r="AI82" s="66">
        <v>141900</v>
      </c>
      <c r="AJ82" s="66">
        <v>46100</v>
      </c>
      <c r="AK82" s="66"/>
      <c r="AL82" s="66"/>
      <c r="AM82" s="66"/>
      <c r="AN82" s="66"/>
      <c r="AO82" s="66"/>
      <c r="AP82" s="90">
        <f t="shared" si="6"/>
        <v>330580</v>
      </c>
      <c r="AQ82" s="66">
        <v>66070</v>
      </c>
      <c r="AR82" s="66">
        <v>74760</v>
      </c>
      <c r="AS82" s="66">
        <v>182250</v>
      </c>
      <c r="AT82" s="66">
        <v>7500</v>
      </c>
      <c r="AU82" s="66"/>
      <c r="AV82" s="66">
        <v>600000</v>
      </c>
      <c r="AW82" s="66">
        <v>600000</v>
      </c>
      <c r="AX82" s="66"/>
      <c r="AY82" s="51"/>
      <c r="AZ82" s="66"/>
      <c r="BA82" s="66"/>
      <c r="BB82" s="49"/>
      <c r="BC82" s="49"/>
      <c r="BD82" s="49"/>
      <c r="BE82" s="933"/>
      <c r="BF82" s="49"/>
      <c r="BG82" s="49"/>
      <c r="BH82" s="90">
        <f t="shared" si="7"/>
        <v>0</v>
      </c>
      <c r="BI82" s="90">
        <v>0</v>
      </c>
      <c r="BJ82" s="66"/>
      <c r="BK82" s="49"/>
      <c r="BL82" s="49"/>
      <c r="BM82" s="49"/>
      <c r="BN82" s="49"/>
      <c r="BO82" s="49"/>
      <c r="BP82" s="49"/>
      <c r="BQ82" s="66">
        <f t="shared" si="8"/>
        <v>0</v>
      </c>
      <c r="BR82" s="49"/>
      <c r="BS82" s="49"/>
      <c r="BT82" s="49"/>
      <c r="BU82" s="49"/>
      <c r="BV82" s="49"/>
      <c r="BW82" s="49"/>
      <c r="BX82" s="90">
        <f t="shared" si="25"/>
        <v>0</v>
      </c>
      <c r="BY82" s="90">
        <v>0</v>
      </c>
      <c r="BZ82" s="90"/>
      <c r="CA82" s="90"/>
      <c r="CB82" s="90"/>
      <c r="CC82" s="91"/>
      <c r="CD82" s="91"/>
      <c r="CE82" s="49"/>
      <c r="CF82" s="66">
        <f t="shared" ref="CF82:CF92" si="26">CG82+CH82</f>
        <v>0</v>
      </c>
      <c r="CG82" s="49"/>
      <c r="CH82" s="49"/>
      <c r="CI82" s="51">
        <f t="shared" si="10"/>
        <v>4468340</v>
      </c>
      <c r="CJ82" s="81"/>
      <c r="CK82" s="367"/>
      <c r="CL82" s="367"/>
      <c r="CM82" s="81"/>
      <c r="CN82" s="367"/>
      <c r="CO82" s="367"/>
      <c r="CP82" s="1486"/>
      <c r="CQ82" s="1486"/>
      <c r="CR82" s="367"/>
      <c r="CS82" s="1486"/>
      <c r="CT82" s="1485"/>
      <c r="CU82" s="1485">
        <f t="shared" si="11"/>
        <v>0</v>
      </c>
      <c r="CV82" s="1486"/>
      <c r="CW82" s="1486"/>
      <c r="CX82" s="1486"/>
      <c r="CY82" s="1486"/>
      <c r="CZ82" s="1486"/>
    </row>
    <row r="83" spans="1:104" s="67" customFormat="1" ht="31.15" customHeight="1">
      <c r="A83" s="1130" t="s">
        <v>711</v>
      </c>
      <c r="B83" s="1131" t="s">
        <v>1122</v>
      </c>
      <c r="C83" s="44"/>
      <c r="D83" s="1186">
        <f>'дод 1.2'!D1910</f>
        <v>0</v>
      </c>
      <c r="E83" s="44"/>
      <c r="F83" s="415"/>
      <c r="G83" s="415">
        <f>'дод 1.2'!E1910</f>
        <v>585000</v>
      </c>
      <c r="H83" s="415">
        <f t="shared" ref="H83:H98" si="27">D83+E83+F83+G83</f>
        <v>585000</v>
      </c>
      <c r="I83" s="66">
        <v>1553600</v>
      </c>
      <c r="J83" s="49"/>
      <c r="K83" s="49"/>
      <c r="L83" s="49"/>
      <c r="M83" s="49"/>
      <c r="N83" s="66"/>
      <c r="O83" s="66"/>
      <c r="P83" s="49"/>
      <c r="Q83" s="66">
        <f t="shared" ref="Q83:Q98" si="28">SUM(R83:T83)</f>
        <v>200000</v>
      </c>
      <c r="R83" s="66">
        <v>200000</v>
      </c>
      <c r="S83" s="49"/>
      <c r="T83" s="66">
        <f t="shared" ref="T83:T98" si="29">SUM(U83:V83)</f>
        <v>0</v>
      </c>
      <c r="U83" s="49"/>
      <c r="V83" s="49"/>
      <c r="W83" s="51"/>
      <c r="X83" s="66">
        <f t="shared" ref="X83:X98" si="30">Y83+Z83</f>
        <v>6100</v>
      </c>
      <c r="Y83" s="66">
        <v>6100</v>
      </c>
      <c r="Z83" s="66"/>
      <c r="AA83" s="66"/>
      <c r="AB83" s="49"/>
      <c r="AC83" s="49"/>
      <c r="AD83" s="90">
        <f t="shared" ref="AD83:AD98" si="31">SUM(AE83:AG83)</f>
        <v>0</v>
      </c>
      <c r="AE83" s="66"/>
      <c r="AF83" s="49"/>
      <c r="AG83" s="49"/>
      <c r="AH83" s="90">
        <f t="shared" ref="AH83:AH98" si="32">AI83+AK83+AJ83+AL83+AM83+AN83+AO83</f>
        <v>47000</v>
      </c>
      <c r="AI83" s="66">
        <v>35500</v>
      </c>
      <c r="AJ83" s="66">
        <v>11500</v>
      </c>
      <c r="AK83" s="66"/>
      <c r="AL83" s="66"/>
      <c r="AM83" s="66"/>
      <c r="AN83" s="66"/>
      <c r="AO83" s="66"/>
      <c r="AP83" s="90">
        <f t="shared" ref="AP83:AP98" si="33">SUM(AQ83:AU83)</f>
        <v>211000</v>
      </c>
      <c r="AQ83" s="66">
        <v>46800</v>
      </c>
      <c r="AR83" s="66">
        <v>38000</v>
      </c>
      <c r="AS83" s="66">
        <v>121500</v>
      </c>
      <c r="AT83" s="66">
        <v>4700</v>
      </c>
      <c r="AU83" s="66"/>
      <c r="AV83" s="66"/>
      <c r="AW83" s="66"/>
      <c r="AX83" s="66"/>
      <c r="AY83" s="51"/>
      <c r="AZ83" s="66"/>
      <c r="BA83" s="66"/>
      <c r="BB83" s="49"/>
      <c r="BC83" s="49"/>
      <c r="BD83" s="49"/>
      <c r="BE83" s="933"/>
      <c r="BF83" s="49"/>
      <c r="BG83" s="49"/>
      <c r="BH83" s="90">
        <f t="shared" ref="BH83:BH98" si="34">SUM(BI83:BN83)</f>
        <v>6000</v>
      </c>
      <c r="BI83" s="90">
        <v>6000</v>
      </c>
      <c r="BJ83" s="66"/>
      <c r="BK83" s="49"/>
      <c r="BL83" s="49"/>
      <c r="BM83" s="49"/>
      <c r="BN83" s="49"/>
      <c r="BO83" s="49"/>
      <c r="BP83" s="49"/>
      <c r="BQ83" s="66">
        <f t="shared" ref="BQ83:BQ102" si="35">SUM(BR83:BT83)</f>
        <v>0</v>
      </c>
      <c r="BR83" s="49"/>
      <c r="BS83" s="49"/>
      <c r="BT83" s="49"/>
      <c r="BU83" s="49"/>
      <c r="BV83" s="49"/>
      <c r="BW83" s="49"/>
      <c r="BX83" s="90">
        <f t="shared" si="25"/>
        <v>0</v>
      </c>
      <c r="BY83" s="90">
        <v>0</v>
      </c>
      <c r="BZ83" s="90"/>
      <c r="CA83" s="90"/>
      <c r="CB83" s="90"/>
      <c r="CC83" s="91"/>
      <c r="CD83" s="91"/>
      <c r="CE83" s="66"/>
      <c r="CF83" s="66">
        <f t="shared" si="26"/>
        <v>0</v>
      </c>
      <c r="CG83" s="49"/>
      <c r="CH83" s="49"/>
      <c r="CI83" s="51">
        <f t="shared" ref="CI83:CI116" si="36">I83+J83+K83+L83+N83+P83+Q83+W83+X83+AA83+AB83+AC83+AD83+AH83+BA83+BB83+BC83+BE83+BF83+BH83+BO83+BP83+BQ83+BX83+BV83+BG83+BU83+AP83+BW83+O83+M83+AV83+AY83+AZ83</f>
        <v>2023700</v>
      </c>
      <c r="CJ83" s="81"/>
      <c r="CK83" s="367"/>
      <c r="CL83" s="367"/>
      <c r="CM83" s="81"/>
      <c r="CN83" s="367"/>
      <c r="CO83" s="367"/>
      <c r="CP83" s="1486"/>
      <c r="CQ83" s="1486"/>
      <c r="CR83" s="367"/>
      <c r="CS83" s="1486"/>
      <c r="CT83" s="1485"/>
      <c r="CU83" s="1485">
        <f t="shared" ref="CU83:CU118" si="37">CT83-CJ83-CM83</f>
        <v>0</v>
      </c>
      <c r="CV83" s="1486"/>
      <c r="CW83" s="1486"/>
      <c r="CX83" s="1486"/>
      <c r="CY83" s="1486"/>
      <c r="CZ83" s="1486"/>
    </row>
    <row r="84" spans="1:104" s="67" customFormat="1" ht="31.15" customHeight="1">
      <c r="A84" s="1130" t="s">
        <v>712</v>
      </c>
      <c r="B84" s="1131" t="s">
        <v>1123</v>
      </c>
      <c r="C84" s="44"/>
      <c r="D84" s="44"/>
      <c r="E84" s="415">
        <v>1183623</v>
      </c>
      <c r="F84" s="415">
        <f>'дод1.1'!E90</f>
        <v>200000</v>
      </c>
      <c r="G84" s="415">
        <f>'дод 1.2'!E1963</f>
        <v>599000</v>
      </c>
      <c r="H84" s="415">
        <f t="shared" si="27"/>
        <v>1982623</v>
      </c>
      <c r="I84" s="66">
        <v>2805900</v>
      </c>
      <c r="J84" s="49"/>
      <c r="K84" s="49"/>
      <c r="L84" s="49"/>
      <c r="M84" s="49"/>
      <c r="N84" s="66"/>
      <c r="O84" s="66"/>
      <c r="P84" s="49"/>
      <c r="Q84" s="66">
        <f t="shared" si="28"/>
        <v>505000</v>
      </c>
      <c r="R84" s="66">
        <v>500000</v>
      </c>
      <c r="S84" s="49"/>
      <c r="T84" s="66">
        <f t="shared" si="29"/>
        <v>5000</v>
      </c>
      <c r="U84" s="66">
        <v>5000</v>
      </c>
      <c r="V84" s="49"/>
      <c r="W84" s="51"/>
      <c r="X84" s="66">
        <f t="shared" si="30"/>
        <v>6100</v>
      </c>
      <c r="Y84" s="66">
        <v>6100</v>
      </c>
      <c r="Z84" s="66"/>
      <c r="AA84" s="66"/>
      <c r="AB84" s="49"/>
      <c r="AC84" s="49"/>
      <c r="AD84" s="90">
        <f t="shared" si="31"/>
        <v>0</v>
      </c>
      <c r="AE84" s="66"/>
      <c r="AF84" s="49"/>
      <c r="AG84" s="49"/>
      <c r="AH84" s="90">
        <f t="shared" si="32"/>
        <v>117500</v>
      </c>
      <c r="AI84" s="66">
        <v>88700</v>
      </c>
      <c r="AJ84" s="66">
        <v>28800</v>
      </c>
      <c r="AK84" s="66"/>
      <c r="AL84" s="66"/>
      <c r="AM84" s="66"/>
      <c r="AN84" s="66"/>
      <c r="AO84" s="66"/>
      <c r="AP84" s="90">
        <f t="shared" si="33"/>
        <v>256940</v>
      </c>
      <c r="AQ84" s="66">
        <v>74330</v>
      </c>
      <c r="AR84" s="66">
        <v>75260</v>
      </c>
      <c r="AS84" s="66">
        <v>101250</v>
      </c>
      <c r="AT84" s="66">
        <v>6100</v>
      </c>
      <c r="AU84" s="66"/>
      <c r="AV84" s="66">
        <v>80761</v>
      </c>
      <c r="AW84" s="66">
        <v>80761</v>
      </c>
      <c r="AX84" s="66"/>
      <c r="AY84" s="51"/>
      <c r="AZ84" s="66"/>
      <c r="BA84" s="66"/>
      <c r="BB84" s="49"/>
      <c r="BC84" s="66">
        <v>142900</v>
      </c>
      <c r="BD84" s="49"/>
      <c r="BE84" s="933"/>
      <c r="BF84" s="49"/>
      <c r="BG84" s="49"/>
      <c r="BH84" s="90">
        <f t="shared" si="34"/>
        <v>202373</v>
      </c>
      <c r="BI84" s="90">
        <v>122373</v>
      </c>
      <c r="BJ84" s="66">
        <f>10000+70000</f>
        <v>80000</v>
      </c>
      <c r="BK84" s="49"/>
      <c r="BL84" s="49"/>
      <c r="BM84" s="49"/>
      <c r="BN84" s="49"/>
      <c r="BO84" s="49"/>
      <c r="BP84" s="49"/>
      <c r="BQ84" s="66">
        <f t="shared" si="35"/>
        <v>0</v>
      </c>
      <c r="BR84" s="49"/>
      <c r="BS84" s="49"/>
      <c r="BT84" s="49"/>
      <c r="BU84" s="49"/>
      <c r="BV84" s="49"/>
      <c r="BW84" s="49"/>
      <c r="BX84" s="90">
        <f t="shared" si="25"/>
        <v>555400</v>
      </c>
      <c r="BY84" s="90">
        <v>37000</v>
      </c>
      <c r="BZ84" s="90">
        <v>10000</v>
      </c>
      <c r="CA84" s="90"/>
      <c r="CB84" s="90">
        <v>508400</v>
      </c>
      <c r="CC84" s="91"/>
      <c r="CD84" s="91"/>
      <c r="CE84" s="66"/>
      <c r="CF84" s="66">
        <f t="shared" si="26"/>
        <v>0</v>
      </c>
      <c r="CG84" s="49"/>
      <c r="CH84" s="49"/>
      <c r="CI84" s="51">
        <f t="shared" si="36"/>
        <v>4672874</v>
      </c>
      <c r="CJ84" s="81"/>
      <c r="CK84" s="367"/>
      <c r="CL84" s="367"/>
      <c r="CM84" s="81"/>
      <c r="CN84" s="367"/>
      <c r="CO84" s="367"/>
      <c r="CP84" s="1486"/>
      <c r="CQ84" s="1486"/>
      <c r="CR84" s="367"/>
      <c r="CS84" s="1486"/>
      <c r="CT84" s="1485"/>
      <c r="CU84" s="1485">
        <f t="shared" si="37"/>
        <v>0</v>
      </c>
      <c r="CV84" s="1486"/>
      <c r="CW84" s="1486"/>
      <c r="CX84" s="1486"/>
      <c r="CY84" s="1486"/>
      <c r="CZ84" s="1486"/>
    </row>
    <row r="85" spans="1:104" s="67" customFormat="1" ht="31.15" customHeight="1">
      <c r="A85" s="1130" t="s">
        <v>713</v>
      </c>
      <c r="B85" s="1131" t="s">
        <v>1124</v>
      </c>
      <c r="C85" s="44"/>
      <c r="D85" s="44"/>
      <c r="E85" s="44"/>
      <c r="F85" s="415">
        <f>'дод1.1'!E43</f>
        <v>1298117</v>
      </c>
      <c r="G85" s="415">
        <f>'дод 1.2'!E1948</f>
        <v>1349840</v>
      </c>
      <c r="H85" s="415">
        <f t="shared" si="27"/>
        <v>2647957</v>
      </c>
      <c r="I85" s="66">
        <v>11367400</v>
      </c>
      <c r="J85" s="49"/>
      <c r="K85" s="49"/>
      <c r="L85" s="49"/>
      <c r="M85" s="49"/>
      <c r="N85" s="66"/>
      <c r="O85" s="66"/>
      <c r="P85" s="49"/>
      <c r="Q85" s="66">
        <f t="shared" si="28"/>
        <v>1762860</v>
      </c>
      <c r="R85" s="66">
        <v>1400000</v>
      </c>
      <c r="S85" s="66">
        <v>132860</v>
      </c>
      <c r="T85" s="66">
        <f t="shared" si="29"/>
        <v>230000</v>
      </c>
      <c r="U85" s="66"/>
      <c r="V85" s="66">
        <v>230000</v>
      </c>
      <c r="W85" s="51">
        <v>220900</v>
      </c>
      <c r="X85" s="66">
        <f t="shared" si="30"/>
        <v>1133500</v>
      </c>
      <c r="Y85" s="66">
        <v>74000</v>
      </c>
      <c r="Z85" s="66">
        <v>1059500</v>
      </c>
      <c r="AA85" s="66">
        <f>443000+51209</f>
        <v>494209</v>
      </c>
      <c r="AB85" s="49"/>
      <c r="AC85" s="49"/>
      <c r="AD85" s="90">
        <f t="shared" si="31"/>
        <v>0</v>
      </c>
      <c r="AE85" s="66"/>
      <c r="AF85" s="49"/>
      <c r="AG85" s="49"/>
      <c r="AH85" s="90">
        <f t="shared" si="32"/>
        <v>862400</v>
      </c>
      <c r="AI85" s="66">
        <v>567700</v>
      </c>
      <c r="AJ85" s="66">
        <v>184200</v>
      </c>
      <c r="AK85" s="66"/>
      <c r="AL85" s="66">
        <v>71500</v>
      </c>
      <c r="AM85" s="66">
        <v>39000</v>
      </c>
      <c r="AN85" s="66"/>
      <c r="AO85" s="66"/>
      <c r="AP85" s="90">
        <f t="shared" si="33"/>
        <v>882950</v>
      </c>
      <c r="AQ85" s="66">
        <v>269770</v>
      </c>
      <c r="AR85" s="66">
        <v>373030</v>
      </c>
      <c r="AS85" s="66">
        <v>222750</v>
      </c>
      <c r="AT85" s="66">
        <v>17400</v>
      </c>
      <c r="AU85" s="66"/>
      <c r="AV85" s="66">
        <v>911065</v>
      </c>
      <c r="AW85" s="66">
        <v>911065</v>
      </c>
      <c r="AX85" s="66"/>
      <c r="AY85" s="51"/>
      <c r="AZ85" s="66"/>
      <c r="BA85" s="66"/>
      <c r="BB85" s="49"/>
      <c r="BC85" s="49"/>
      <c r="BD85" s="49"/>
      <c r="BE85" s="933"/>
      <c r="BF85" s="49"/>
      <c r="BG85" s="49"/>
      <c r="BH85" s="90">
        <f t="shared" si="34"/>
        <v>531672</v>
      </c>
      <c r="BI85" s="90">
        <v>246672</v>
      </c>
      <c r="BJ85" s="66">
        <v>285000</v>
      </c>
      <c r="BK85" s="49"/>
      <c r="BL85" s="49"/>
      <c r="BM85" s="49"/>
      <c r="BN85" s="49"/>
      <c r="BO85" s="49"/>
      <c r="BP85" s="49"/>
      <c r="BQ85" s="66">
        <f t="shared" si="35"/>
        <v>0</v>
      </c>
      <c r="BR85" s="49"/>
      <c r="BS85" s="49"/>
      <c r="BT85" s="49"/>
      <c r="BU85" s="49"/>
      <c r="BV85" s="49"/>
      <c r="BW85" s="66">
        <v>1000000</v>
      </c>
      <c r="BX85" s="90">
        <f t="shared" si="25"/>
        <v>147000</v>
      </c>
      <c r="BY85" s="90">
        <v>127000</v>
      </c>
      <c r="BZ85" s="90">
        <v>20000</v>
      </c>
      <c r="CA85" s="90"/>
      <c r="CB85" s="90"/>
      <c r="CC85" s="91"/>
      <c r="CD85" s="91"/>
      <c r="CE85" s="66"/>
      <c r="CF85" s="66">
        <f t="shared" si="26"/>
        <v>0</v>
      </c>
      <c r="CG85" s="49"/>
      <c r="CH85" s="49"/>
      <c r="CI85" s="51">
        <f t="shared" si="36"/>
        <v>19313956</v>
      </c>
      <c r="CJ85" s="81"/>
      <c r="CK85" s="367"/>
      <c r="CL85" s="367"/>
      <c r="CM85" s="81"/>
      <c r="CN85" s="367"/>
      <c r="CO85" s="367"/>
      <c r="CP85" s="1486"/>
      <c r="CQ85" s="1486"/>
      <c r="CR85" s="367"/>
      <c r="CS85" s="1486"/>
      <c r="CT85" s="1485"/>
      <c r="CU85" s="1485">
        <f t="shared" si="37"/>
        <v>0</v>
      </c>
      <c r="CV85" s="1486"/>
      <c r="CW85" s="1486"/>
      <c r="CX85" s="1486"/>
      <c r="CY85" s="1486"/>
      <c r="CZ85" s="1486"/>
    </row>
    <row r="86" spans="1:104" s="67" customFormat="1" ht="31.15" customHeight="1">
      <c r="A86" s="1130" t="s">
        <v>714</v>
      </c>
      <c r="B86" s="1131" t="s">
        <v>1125</v>
      </c>
      <c r="C86" s="44"/>
      <c r="D86" s="44"/>
      <c r="E86" s="44"/>
      <c r="F86" s="415">
        <f>'дод1.1'!C94</f>
        <v>11000</v>
      </c>
      <c r="G86" s="415">
        <f>'дод 1.2'!E1943</f>
        <v>627033</v>
      </c>
      <c r="H86" s="415">
        <f t="shared" si="27"/>
        <v>638033</v>
      </c>
      <c r="I86" s="66">
        <v>2691600</v>
      </c>
      <c r="J86" s="49"/>
      <c r="K86" s="49"/>
      <c r="L86" s="49"/>
      <c r="M86" s="49"/>
      <c r="N86" s="66"/>
      <c r="O86" s="66"/>
      <c r="P86" s="49"/>
      <c r="Q86" s="66">
        <f t="shared" si="28"/>
        <v>632860</v>
      </c>
      <c r="R86" s="66">
        <v>500000</v>
      </c>
      <c r="S86" s="66">
        <v>132860</v>
      </c>
      <c r="T86" s="66">
        <f t="shared" si="29"/>
        <v>0</v>
      </c>
      <c r="U86" s="66"/>
      <c r="V86" s="66"/>
      <c r="W86" s="51"/>
      <c r="X86" s="66">
        <f t="shared" si="30"/>
        <v>4100</v>
      </c>
      <c r="Y86" s="66">
        <v>4100</v>
      </c>
      <c r="Z86" s="66"/>
      <c r="AA86" s="66"/>
      <c r="AB86" s="49"/>
      <c r="AC86" s="49"/>
      <c r="AD86" s="90">
        <f t="shared" si="31"/>
        <v>0</v>
      </c>
      <c r="AE86" s="66"/>
      <c r="AF86" s="49"/>
      <c r="AG86" s="49"/>
      <c r="AH86" s="90">
        <f t="shared" si="32"/>
        <v>0</v>
      </c>
      <c r="AI86" s="66">
        <v>0</v>
      </c>
      <c r="AJ86" s="66"/>
      <c r="AK86" s="66"/>
      <c r="AL86" s="66"/>
      <c r="AM86" s="66"/>
      <c r="AN86" s="66"/>
      <c r="AO86" s="66"/>
      <c r="AP86" s="90">
        <f t="shared" si="33"/>
        <v>226530</v>
      </c>
      <c r="AQ86" s="66">
        <v>66070</v>
      </c>
      <c r="AR86" s="66">
        <v>74760</v>
      </c>
      <c r="AS86" s="66">
        <v>81000</v>
      </c>
      <c r="AT86" s="66">
        <v>4700</v>
      </c>
      <c r="AU86" s="66"/>
      <c r="AV86" s="66">
        <v>280087</v>
      </c>
      <c r="AW86" s="66">
        <v>280087</v>
      </c>
      <c r="AX86" s="66"/>
      <c r="AY86" s="51"/>
      <c r="AZ86" s="66"/>
      <c r="BA86" s="66"/>
      <c r="BB86" s="49"/>
      <c r="BC86" s="49"/>
      <c r="BD86" s="49"/>
      <c r="BE86" s="933"/>
      <c r="BF86" s="49"/>
      <c r="BG86" s="49"/>
      <c r="BH86" s="90">
        <f t="shared" si="34"/>
        <v>85000</v>
      </c>
      <c r="BI86" s="90">
        <v>85000</v>
      </c>
      <c r="BJ86" s="66"/>
      <c r="BK86" s="49"/>
      <c r="BL86" s="49"/>
      <c r="BM86" s="49"/>
      <c r="BN86" s="49"/>
      <c r="BO86" s="49"/>
      <c r="BP86" s="49"/>
      <c r="BQ86" s="66">
        <f t="shared" si="35"/>
        <v>0</v>
      </c>
      <c r="BR86" s="49"/>
      <c r="BS86" s="49"/>
      <c r="BT86" s="49"/>
      <c r="BU86" s="49"/>
      <c r="BV86" s="49"/>
      <c r="BW86" s="49"/>
      <c r="BX86" s="90">
        <f t="shared" si="25"/>
        <v>0</v>
      </c>
      <c r="BY86" s="90">
        <v>0</v>
      </c>
      <c r="BZ86" s="90"/>
      <c r="CA86" s="90"/>
      <c r="CB86" s="90"/>
      <c r="CC86" s="91"/>
      <c r="CD86" s="91"/>
      <c r="CE86" s="49"/>
      <c r="CF86" s="66">
        <f t="shared" si="26"/>
        <v>0</v>
      </c>
      <c r="CG86" s="49"/>
      <c r="CH86" s="49"/>
      <c r="CI86" s="51">
        <f t="shared" si="36"/>
        <v>3920177</v>
      </c>
      <c r="CJ86" s="81"/>
      <c r="CK86" s="367"/>
      <c r="CL86" s="367"/>
      <c r="CM86" s="81"/>
      <c r="CN86" s="367"/>
      <c r="CO86" s="367"/>
      <c r="CP86" s="1486"/>
      <c r="CQ86" s="1486"/>
      <c r="CR86" s="367"/>
      <c r="CS86" s="1486"/>
      <c r="CT86" s="1485"/>
      <c r="CU86" s="1485">
        <f t="shared" si="37"/>
        <v>0</v>
      </c>
      <c r="CV86" s="1486"/>
      <c r="CW86" s="1486"/>
      <c r="CX86" s="1486"/>
      <c r="CY86" s="1486"/>
      <c r="CZ86" s="1486"/>
    </row>
    <row r="87" spans="1:104" s="67" customFormat="1" ht="31.15" customHeight="1">
      <c r="A87" s="1130" t="s">
        <v>715</v>
      </c>
      <c r="B87" s="1131" t="s">
        <v>1126</v>
      </c>
      <c r="C87" s="44"/>
      <c r="D87" s="44"/>
      <c r="E87" s="44"/>
      <c r="F87" s="415"/>
      <c r="G87" s="415"/>
      <c r="H87" s="415">
        <f t="shared" si="27"/>
        <v>0</v>
      </c>
      <c r="I87" s="66">
        <v>1112200</v>
      </c>
      <c r="J87" s="49"/>
      <c r="K87" s="49"/>
      <c r="L87" s="49"/>
      <c r="M87" s="49"/>
      <c r="N87" s="66"/>
      <c r="O87" s="66"/>
      <c r="P87" s="49"/>
      <c r="Q87" s="66">
        <f t="shared" si="28"/>
        <v>500000</v>
      </c>
      <c r="R87" s="66">
        <v>500000</v>
      </c>
      <c r="S87" s="66"/>
      <c r="T87" s="66">
        <f t="shared" si="29"/>
        <v>0</v>
      </c>
      <c r="U87" s="66"/>
      <c r="V87" s="66"/>
      <c r="W87" s="51"/>
      <c r="X87" s="66">
        <f t="shared" si="30"/>
        <v>0</v>
      </c>
      <c r="Y87" s="66"/>
      <c r="Z87" s="66"/>
      <c r="AA87" s="66">
        <v>13500</v>
      </c>
      <c r="AB87" s="49"/>
      <c r="AC87" s="49"/>
      <c r="AD87" s="90">
        <f t="shared" si="31"/>
        <v>0</v>
      </c>
      <c r="AE87" s="66"/>
      <c r="AF87" s="49"/>
      <c r="AG87" s="49"/>
      <c r="AH87" s="90">
        <f t="shared" si="32"/>
        <v>47000</v>
      </c>
      <c r="AI87" s="66">
        <v>35500</v>
      </c>
      <c r="AJ87" s="66">
        <v>11500</v>
      </c>
      <c r="AK87" s="66"/>
      <c r="AL87" s="66"/>
      <c r="AM87" s="66"/>
      <c r="AN87" s="66"/>
      <c r="AO87" s="66"/>
      <c r="AP87" s="90">
        <f t="shared" si="33"/>
        <v>93270</v>
      </c>
      <c r="AQ87" s="66">
        <v>22020</v>
      </c>
      <c r="AR87" s="66">
        <v>28250</v>
      </c>
      <c r="AS87" s="66">
        <v>40500</v>
      </c>
      <c r="AT87" s="66">
        <v>2500</v>
      </c>
      <c r="AU87" s="66"/>
      <c r="AV87" s="66">
        <v>637626</v>
      </c>
      <c r="AW87" s="66">
        <v>637626</v>
      </c>
      <c r="AX87" s="66"/>
      <c r="AY87" s="51"/>
      <c r="AZ87" s="66"/>
      <c r="BA87" s="66"/>
      <c r="BB87" s="49"/>
      <c r="BC87" s="49"/>
      <c r="BD87" s="49"/>
      <c r="BE87" s="933"/>
      <c r="BF87" s="49"/>
      <c r="BG87" s="49"/>
      <c r="BH87" s="90">
        <f t="shared" si="34"/>
        <v>0</v>
      </c>
      <c r="BI87" s="90">
        <v>0</v>
      </c>
      <c r="BJ87" s="66"/>
      <c r="BK87" s="49"/>
      <c r="BL87" s="49"/>
      <c r="BM87" s="49"/>
      <c r="BN87" s="49"/>
      <c r="BO87" s="49"/>
      <c r="BP87" s="49"/>
      <c r="BQ87" s="66">
        <f t="shared" si="35"/>
        <v>0</v>
      </c>
      <c r="BR87" s="49"/>
      <c r="BS87" s="49"/>
      <c r="BT87" s="49"/>
      <c r="BU87" s="49"/>
      <c r="BV87" s="49"/>
      <c r="BW87" s="49"/>
      <c r="BX87" s="90">
        <f t="shared" si="25"/>
        <v>110000</v>
      </c>
      <c r="BY87" s="90">
        <v>80000</v>
      </c>
      <c r="BZ87" s="90"/>
      <c r="CA87" s="90"/>
      <c r="CB87" s="90"/>
      <c r="CC87" s="91"/>
      <c r="CD87" s="91"/>
      <c r="CE87" s="49"/>
      <c r="CF87" s="66">
        <f t="shared" si="26"/>
        <v>30000</v>
      </c>
      <c r="CG87" s="49"/>
      <c r="CH87" s="66">
        <v>30000</v>
      </c>
      <c r="CI87" s="51">
        <f t="shared" si="36"/>
        <v>2513596</v>
      </c>
      <c r="CJ87" s="81"/>
      <c r="CK87" s="367"/>
      <c r="CL87" s="367"/>
      <c r="CM87" s="81"/>
      <c r="CN87" s="367"/>
      <c r="CO87" s="367"/>
      <c r="CP87" s="1486"/>
      <c r="CQ87" s="1486"/>
      <c r="CR87" s="367"/>
      <c r="CS87" s="1486"/>
      <c r="CT87" s="1485"/>
      <c r="CU87" s="1485">
        <f t="shared" si="37"/>
        <v>0</v>
      </c>
      <c r="CV87" s="1486"/>
      <c r="CW87" s="1486"/>
      <c r="CX87" s="1486"/>
      <c r="CY87" s="1486"/>
      <c r="CZ87" s="1486"/>
    </row>
    <row r="88" spans="1:104" s="67" customFormat="1" ht="31.15" customHeight="1">
      <c r="A88" s="1130" t="s">
        <v>716</v>
      </c>
      <c r="B88" s="1131" t="s">
        <v>1127</v>
      </c>
      <c r="C88" s="44"/>
      <c r="D88" s="44"/>
      <c r="E88" s="44"/>
      <c r="F88" s="415"/>
      <c r="G88" s="415"/>
      <c r="H88" s="415">
        <f t="shared" si="27"/>
        <v>0</v>
      </c>
      <c r="I88" s="66">
        <v>1069800</v>
      </c>
      <c r="J88" s="49"/>
      <c r="K88" s="49"/>
      <c r="L88" s="49"/>
      <c r="M88" s="49"/>
      <c r="N88" s="66"/>
      <c r="O88" s="66"/>
      <c r="P88" s="49"/>
      <c r="Q88" s="66">
        <f t="shared" si="28"/>
        <v>0</v>
      </c>
      <c r="R88" s="66"/>
      <c r="S88" s="49"/>
      <c r="T88" s="66">
        <f t="shared" si="29"/>
        <v>0</v>
      </c>
      <c r="U88" s="49"/>
      <c r="V88" s="49"/>
      <c r="W88" s="51"/>
      <c r="X88" s="66">
        <f t="shared" si="30"/>
        <v>2000</v>
      </c>
      <c r="Y88" s="66">
        <v>2000</v>
      </c>
      <c r="Z88" s="66"/>
      <c r="AA88" s="66"/>
      <c r="AB88" s="49"/>
      <c r="AC88" s="49"/>
      <c r="AD88" s="90">
        <f t="shared" si="31"/>
        <v>0</v>
      </c>
      <c r="AE88" s="66"/>
      <c r="AF88" s="49"/>
      <c r="AG88" s="49"/>
      <c r="AH88" s="90">
        <f t="shared" si="32"/>
        <v>0</v>
      </c>
      <c r="AI88" s="66">
        <v>0</v>
      </c>
      <c r="AJ88" s="66"/>
      <c r="AK88" s="66"/>
      <c r="AL88" s="66"/>
      <c r="AM88" s="66"/>
      <c r="AN88" s="66"/>
      <c r="AO88" s="66"/>
      <c r="AP88" s="90">
        <f t="shared" si="33"/>
        <v>124030</v>
      </c>
      <c r="AQ88" s="66">
        <v>33030</v>
      </c>
      <c r="AR88" s="66">
        <v>27750</v>
      </c>
      <c r="AS88" s="66">
        <v>60750</v>
      </c>
      <c r="AT88" s="66">
        <v>2500</v>
      </c>
      <c r="AU88" s="66"/>
      <c r="AV88" s="66">
        <v>940273</v>
      </c>
      <c r="AW88" s="66">
        <v>940273</v>
      </c>
      <c r="AX88" s="66"/>
      <c r="AY88" s="51"/>
      <c r="AZ88" s="66"/>
      <c r="BA88" s="66"/>
      <c r="BB88" s="49"/>
      <c r="BC88" s="49"/>
      <c r="BD88" s="49"/>
      <c r="BE88" s="933"/>
      <c r="BF88" s="49"/>
      <c r="BG88" s="49"/>
      <c r="BH88" s="90">
        <f t="shared" si="34"/>
        <v>9000</v>
      </c>
      <c r="BI88" s="90">
        <v>9000</v>
      </c>
      <c r="BJ88" s="66"/>
      <c r="BK88" s="49"/>
      <c r="BL88" s="49"/>
      <c r="BM88" s="49"/>
      <c r="BN88" s="49"/>
      <c r="BO88" s="49"/>
      <c r="BP88" s="49"/>
      <c r="BQ88" s="66">
        <f t="shared" si="35"/>
        <v>0</v>
      </c>
      <c r="BR88" s="49"/>
      <c r="BS88" s="49"/>
      <c r="BT88" s="49"/>
      <c r="BU88" s="49"/>
      <c r="BV88" s="49"/>
      <c r="BW88" s="49"/>
      <c r="BX88" s="90">
        <f t="shared" si="25"/>
        <v>0</v>
      </c>
      <c r="BY88" s="90">
        <v>0</v>
      </c>
      <c r="BZ88" s="90"/>
      <c r="CA88" s="90"/>
      <c r="CB88" s="90"/>
      <c r="CC88" s="91"/>
      <c r="CD88" s="91"/>
      <c r="CE88" s="49"/>
      <c r="CF88" s="66">
        <f t="shared" si="26"/>
        <v>0</v>
      </c>
      <c r="CG88" s="49"/>
      <c r="CH88" s="49"/>
      <c r="CI88" s="51">
        <f t="shared" si="36"/>
        <v>2145103</v>
      </c>
      <c r="CJ88" s="81"/>
      <c r="CK88" s="367"/>
      <c r="CL88" s="367"/>
      <c r="CM88" s="81"/>
      <c r="CN88" s="367"/>
      <c r="CO88" s="367"/>
      <c r="CP88" s="1486"/>
      <c r="CQ88" s="1486"/>
      <c r="CR88" s="367"/>
      <c r="CS88" s="1486"/>
      <c r="CT88" s="1485"/>
      <c r="CU88" s="1485">
        <f t="shared" si="37"/>
        <v>0</v>
      </c>
      <c r="CV88" s="1486"/>
      <c r="CW88" s="1486"/>
      <c r="CX88" s="1486"/>
      <c r="CY88" s="1486"/>
      <c r="CZ88" s="1486"/>
    </row>
    <row r="89" spans="1:104" s="67" customFormat="1" ht="31.15" customHeight="1">
      <c r="A89" s="1130" t="s">
        <v>717</v>
      </c>
      <c r="B89" s="1131" t="s">
        <v>1128</v>
      </c>
      <c r="C89" s="44"/>
      <c r="D89" s="44"/>
      <c r="E89" s="44"/>
      <c r="F89" s="415">
        <f>'дод1.1'!E115</f>
        <v>1000000</v>
      </c>
      <c r="G89" s="415"/>
      <c r="H89" s="415">
        <f t="shared" si="27"/>
        <v>1000000</v>
      </c>
      <c r="I89" s="66">
        <v>4001100</v>
      </c>
      <c r="J89" s="49"/>
      <c r="K89" s="49"/>
      <c r="L89" s="49"/>
      <c r="M89" s="49"/>
      <c r="N89" s="66"/>
      <c r="O89" s="66"/>
      <c r="P89" s="49"/>
      <c r="Q89" s="66">
        <f t="shared" si="28"/>
        <v>427860</v>
      </c>
      <c r="R89" s="66">
        <v>250000</v>
      </c>
      <c r="S89" s="66">
        <v>132860</v>
      </c>
      <c r="T89" s="66">
        <f t="shared" si="29"/>
        <v>45000</v>
      </c>
      <c r="U89" s="66">
        <v>45000</v>
      </c>
      <c r="V89" s="66"/>
      <c r="W89" s="51"/>
      <c r="X89" s="66">
        <f t="shared" si="30"/>
        <v>14800</v>
      </c>
      <c r="Y89" s="66">
        <v>14800</v>
      </c>
      <c r="Z89" s="66"/>
      <c r="AA89" s="66"/>
      <c r="AB89" s="49"/>
      <c r="AC89" s="49"/>
      <c r="AD89" s="90">
        <f t="shared" si="31"/>
        <v>1040760</v>
      </c>
      <c r="AE89" s="66">
        <v>1040760</v>
      </c>
      <c r="AF89" s="49"/>
      <c r="AG89" s="49"/>
      <c r="AH89" s="90">
        <f t="shared" si="32"/>
        <v>141000</v>
      </c>
      <c r="AI89" s="66">
        <v>106400</v>
      </c>
      <c r="AJ89" s="66">
        <v>34600</v>
      </c>
      <c r="AK89" s="66"/>
      <c r="AL89" s="66"/>
      <c r="AM89" s="66"/>
      <c r="AN89" s="66"/>
      <c r="AO89" s="66"/>
      <c r="AP89" s="90">
        <f t="shared" si="33"/>
        <v>400720</v>
      </c>
      <c r="AQ89" s="66">
        <v>110110</v>
      </c>
      <c r="AR89" s="66">
        <v>140260</v>
      </c>
      <c r="AS89" s="66">
        <v>141750</v>
      </c>
      <c r="AT89" s="66">
        <v>8600</v>
      </c>
      <c r="AU89" s="66"/>
      <c r="AV89" s="66">
        <v>1247457</v>
      </c>
      <c r="AW89" s="66">
        <v>1247457</v>
      </c>
      <c r="AX89" s="66"/>
      <c r="AY89" s="51"/>
      <c r="AZ89" s="66"/>
      <c r="BA89" s="66"/>
      <c r="BB89" s="49"/>
      <c r="BC89" s="49"/>
      <c r="BD89" s="49"/>
      <c r="BE89" s="933"/>
      <c r="BF89" s="49"/>
      <c r="BG89" s="66"/>
      <c r="BH89" s="90">
        <f t="shared" si="34"/>
        <v>131000</v>
      </c>
      <c r="BI89" s="90">
        <v>8000</v>
      </c>
      <c r="BJ89" s="66">
        <v>123000</v>
      </c>
      <c r="BK89" s="49"/>
      <c r="BL89" s="49"/>
      <c r="BM89" s="49"/>
      <c r="BN89" s="49"/>
      <c r="BO89" s="49"/>
      <c r="BP89" s="49"/>
      <c r="BQ89" s="66">
        <f t="shared" si="35"/>
        <v>0</v>
      </c>
      <c r="BR89" s="49"/>
      <c r="BS89" s="49"/>
      <c r="BT89" s="49"/>
      <c r="BU89" s="49"/>
      <c r="BV89" s="49"/>
      <c r="BW89" s="49"/>
      <c r="BX89" s="90">
        <f t="shared" si="25"/>
        <v>395000</v>
      </c>
      <c r="BY89" s="90">
        <v>197000</v>
      </c>
      <c r="BZ89" s="90">
        <v>198000</v>
      </c>
      <c r="CA89" s="90"/>
      <c r="CB89" s="90"/>
      <c r="CC89" s="91"/>
      <c r="CD89" s="91"/>
      <c r="CE89" s="49"/>
      <c r="CF89" s="66">
        <f t="shared" si="26"/>
        <v>0</v>
      </c>
      <c r="CG89" s="49"/>
      <c r="CH89" s="49"/>
      <c r="CI89" s="51">
        <f t="shared" si="36"/>
        <v>7799697</v>
      </c>
      <c r="CJ89" s="81"/>
      <c r="CK89" s="367"/>
      <c r="CL89" s="367"/>
      <c r="CM89" s="81"/>
      <c r="CN89" s="367"/>
      <c r="CO89" s="367"/>
      <c r="CP89" s="1486"/>
      <c r="CQ89" s="1486"/>
      <c r="CR89" s="367"/>
      <c r="CS89" s="1486"/>
      <c r="CT89" s="1485"/>
      <c r="CU89" s="1485">
        <f t="shared" si="37"/>
        <v>0</v>
      </c>
      <c r="CV89" s="1486"/>
      <c r="CW89" s="1486"/>
      <c r="CX89" s="1486"/>
      <c r="CY89" s="1486"/>
      <c r="CZ89" s="1486"/>
    </row>
    <row r="90" spans="1:104" s="67" customFormat="1" ht="31.15" customHeight="1">
      <c r="A90" s="1130" t="s">
        <v>718</v>
      </c>
      <c r="B90" s="1131" t="s">
        <v>1129</v>
      </c>
      <c r="C90" s="44"/>
      <c r="D90" s="932">
        <f>'дод 1.2'!D1889</f>
        <v>30000</v>
      </c>
      <c r="E90" s="415">
        <v>2757830</v>
      </c>
      <c r="F90" s="415">
        <f>'дод1.1'!E11</f>
        <v>970000</v>
      </c>
      <c r="G90" s="415">
        <f>'дод 1.2'!E1889</f>
        <v>655033</v>
      </c>
      <c r="H90" s="415">
        <f t="shared" si="27"/>
        <v>4412863</v>
      </c>
      <c r="I90" s="66">
        <v>7501200</v>
      </c>
      <c r="J90" s="49"/>
      <c r="K90" s="49"/>
      <c r="L90" s="49"/>
      <c r="M90" s="49"/>
      <c r="N90" s="66"/>
      <c r="O90" s="66"/>
      <c r="P90" s="49"/>
      <c r="Q90" s="66">
        <f t="shared" si="28"/>
        <v>335000</v>
      </c>
      <c r="R90" s="66">
        <v>250000</v>
      </c>
      <c r="S90" s="49"/>
      <c r="T90" s="66">
        <f t="shared" si="29"/>
        <v>85000</v>
      </c>
      <c r="U90" s="66">
        <v>45000</v>
      </c>
      <c r="V90" s="66">
        <v>40000</v>
      </c>
      <c r="W90" s="51">
        <v>149440</v>
      </c>
      <c r="X90" s="66">
        <f t="shared" si="30"/>
        <v>744000</v>
      </c>
      <c r="Y90" s="66">
        <v>45400</v>
      </c>
      <c r="Z90" s="66">
        <v>698600</v>
      </c>
      <c r="AA90" s="66">
        <f>231200-105000</f>
        <v>126200</v>
      </c>
      <c r="AB90" s="49"/>
      <c r="AC90" s="49"/>
      <c r="AD90" s="90">
        <f t="shared" si="31"/>
        <v>769960</v>
      </c>
      <c r="AE90" s="66">
        <f>1040760-270800</f>
        <v>769960</v>
      </c>
      <c r="AF90" s="49"/>
      <c r="AG90" s="49"/>
      <c r="AH90" s="90">
        <f t="shared" si="32"/>
        <v>282000</v>
      </c>
      <c r="AI90" s="66">
        <v>212900</v>
      </c>
      <c r="AJ90" s="66">
        <v>69100</v>
      </c>
      <c r="AK90" s="66"/>
      <c r="AL90" s="66"/>
      <c r="AM90" s="66"/>
      <c r="AN90" s="66"/>
      <c r="AO90" s="66"/>
      <c r="AP90" s="90">
        <f t="shared" si="33"/>
        <v>784630</v>
      </c>
      <c r="AQ90" s="66">
        <v>206460</v>
      </c>
      <c r="AR90" s="66">
        <v>280270</v>
      </c>
      <c r="AS90" s="66">
        <v>283500</v>
      </c>
      <c r="AT90" s="66">
        <v>14400</v>
      </c>
      <c r="AU90" s="66"/>
      <c r="AV90" s="66">
        <v>41912</v>
      </c>
      <c r="AW90" s="66">
        <v>41912</v>
      </c>
      <c r="AX90" s="66"/>
      <c r="AY90" s="51"/>
      <c r="AZ90" s="66"/>
      <c r="BA90" s="66"/>
      <c r="BB90" s="49"/>
      <c r="BC90" s="49"/>
      <c r="BD90" s="49"/>
      <c r="BE90" s="933"/>
      <c r="BF90" s="49"/>
      <c r="BG90" s="66"/>
      <c r="BH90" s="90">
        <f t="shared" si="34"/>
        <v>256457</v>
      </c>
      <c r="BI90" s="90">
        <v>116957</v>
      </c>
      <c r="BJ90" s="66">
        <v>139500</v>
      </c>
      <c r="BK90" s="49"/>
      <c r="BL90" s="49"/>
      <c r="BM90" s="49"/>
      <c r="BN90" s="49"/>
      <c r="BO90" s="49"/>
      <c r="BP90" s="49"/>
      <c r="BQ90" s="66">
        <f t="shared" si="35"/>
        <v>0</v>
      </c>
      <c r="BR90" s="49"/>
      <c r="BS90" s="49"/>
      <c r="BT90" s="49"/>
      <c r="BU90" s="49"/>
      <c r="BV90" s="49"/>
      <c r="BW90" s="49"/>
      <c r="BX90" s="90">
        <f t="shared" si="25"/>
        <v>721767</v>
      </c>
      <c r="BY90" s="90">
        <v>166267</v>
      </c>
      <c r="BZ90" s="90">
        <v>405500</v>
      </c>
      <c r="CA90" s="90"/>
      <c r="CB90" s="90"/>
      <c r="CC90" s="91"/>
      <c r="CD90" s="91"/>
      <c r="CE90" s="66"/>
      <c r="CF90" s="66">
        <f t="shared" si="26"/>
        <v>150000</v>
      </c>
      <c r="CG90" s="49"/>
      <c r="CH90" s="66">
        <v>150000</v>
      </c>
      <c r="CI90" s="51">
        <f t="shared" si="36"/>
        <v>11712566</v>
      </c>
      <c r="CJ90" s="81"/>
      <c r="CK90" s="367"/>
      <c r="CL90" s="367"/>
      <c r="CM90" s="81"/>
      <c r="CN90" s="367"/>
      <c r="CO90" s="367"/>
      <c r="CP90" s="1486"/>
      <c r="CQ90" s="1486"/>
      <c r="CR90" s="367"/>
      <c r="CS90" s="1486"/>
      <c r="CT90" s="1485"/>
      <c r="CU90" s="1485">
        <f t="shared" si="37"/>
        <v>0</v>
      </c>
      <c r="CV90" s="1486"/>
      <c r="CW90" s="1486"/>
      <c r="CX90" s="1486"/>
      <c r="CY90" s="1486"/>
      <c r="CZ90" s="1486"/>
    </row>
    <row r="91" spans="1:104" s="67" customFormat="1" ht="31.15" customHeight="1">
      <c r="A91" s="1130" t="s">
        <v>719</v>
      </c>
      <c r="B91" s="1131" t="s">
        <v>1130</v>
      </c>
      <c r="C91" s="44"/>
      <c r="D91" s="44"/>
      <c r="E91" s="44"/>
      <c r="F91" s="415"/>
      <c r="G91" s="415">
        <f>'дод 1.2'!E1826</f>
        <v>89556</v>
      </c>
      <c r="H91" s="415">
        <f t="shared" si="27"/>
        <v>89556</v>
      </c>
      <c r="I91" s="66">
        <v>2171800</v>
      </c>
      <c r="J91" s="49"/>
      <c r="K91" s="49"/>
      <c r="L91" s="49"/>
      <c r="M91" s="49"/>
      <c r="N91" s="66"/>
      <c r="O91" s="66"/>
      <c r="P91" s="49"/>
      <c r="Q91" s="66">
        <f t="shared" si="28"/>
        <v>700000</v>
      </c>
      <c r="R91" s="66">
        <v>700000</v>
      </c>
      <c r="S91" s="49"/>
      <c r="T91" s="66">
        <f t="shared" si="29"/>
        <v>0</v>
      </c>
      <c r="U91" s="49"/>
      <c r="V91" s="49"/>
      <c r="W91" s="51"/>
      <c r="X91" s="66">
        <f t="shared" si="30"/>
        <v>9300</v>
      </c>
      <c r="Y91" s="66">
        <v>9300</v>
      </c>
      <c r="Z91" s="49"/>
      <c r="AA91" s="66"/>
      <c r="AB91" s="49"/>
      <c r="AC91" s="49"/>
      <c r="AD91" s="90">
        <f t="shared" si="31"/>
        <v>0</v>
      </c>
      <c r="AE91" s="66"/>
      <c r="AF91" s="49"/>
      <c r="AG91" s="49"/>
      <c r="AH91" s="90">
        <f t="shared" si="32"/>
        <v>117500</v>
      </c>
      <c r="AI91" s="66">
        <v>88700</v>
      </c>
      <c r="AJ91" s="66">
        <v>28800</v>
      </c>
      <c r="AK91" s="66"/>
      <c r="AL91" s="66"/>
      <c r="AM91" s="66"/>
      <c r="AN91" s="66"/>
      <c r="AO91" s="66"/>
      <c r="AP91" s="90">
        <f t="shared" si="33"/>
        <v>182840</v>
      </c>
      <c r="AQ91" s="66">
        <v>44040</v>
      </c>
      <c r="AR91" s="66">
        <v>54500</v>
      </c>
      <c r="AS91" s="66">
        <v>81000</v>
      </c>
      <c r="AT91" s="66">
        <v>3300</v>
      </c>
      <c r="AU91" s="66"/>
      <c r="AV91" s="66">
        <v>40000</v>
      </c>
      <c r="AW91" s="66">
        <v>40000</v>
      </c>
      <c r="AX91" s="66"/>
      <c r="AY91" s="51"/>
      <c r="AZ91" s="66"/>
      <c r="BA91" s="66"/>
      <c r="BB91" s="49"/>
      <c r="BC91" s="49"/>
      <c r="BD91" s="49"/>
      <c r="BE91" s="933"/>
      <c r="BF91" s="49"/>
      <c r="BG91" s="49"/>
      <c r="BH91" s="90">
        <f t="shared" si="34"/>
        <v>74000</v>
      </c>
      <c r="BI91" s="90">
        <v>74000</v>
      </c>
      <c r="BJ91" s="66"/>
      <c r="BK91" s="49"/>
      <c r="BL91" s="49"/>
      <c r="BM91" s="49"/>
      <c r="BN91" s="49"/>
      <c r="BO91" s="49"/>
      <c r="BP91" s="49"/>
      <c r="BQ91" s="66">
        <f t="shared" si="35"/>
        <v>0</v>
      </c>
      <c r="BR91" s="49"/>
      <c r="BS91" s="49"/>
      <c r="BT91" s="49"/>
      <c r="BU91" s="49"/>
      <c r="BV91" s="49"/>
      <c r="BW91" s="49"/>
      <c r="BX91" s="90">
        <f t="shared" si="25"/>
        <v>86112</v>
      </c>
      <c r="BY91" s="90">
        <v>86112</v>
      </c>
      <c r="BZ91" s="90"/>
      <c r="CA91" s="90"/>
      <c r="CB91" s="90"/>
      <c r="CC91" s="91"/>
      <c r="CD91" s="91"/>
      <c r="CE91" s="49"/>
      <c r="CF91" s="66">
        <f t="shared" si="26"/>
        <v>0</v>
      </c>
      <c r="CG91" s="49"/>
      <c r="CH91" s="49"/>
      <c r="CI91" s="51">
        <f t="shared" si="36"/>
        <v>3381552</v>
      </c>
      <c r="CJ91" s="81"/>
      <c r="CK91" s="367"/>
      <c r="CL91" s="367"/>
      <c r="CM91" s="81"/>
      <c r="CN91" s="367"/>
      <c r="CO91" s="367"/>
      <c r="CP91" s="1486"/>
      <c r="CQ91" s="1486"/>
      <c r="CR91" s="367"/>
      <c r="CS91" s="1486"/>
      <c r="CT91" s="1485"/>
      <c r="CU91" s="1485">
        <f t="shared" si="37"/>
        <v>0</v>
      </c>
      <c r="CV91" s="1486"/>
      <c r="CW91" s="1486"/>
      <c r="CX91" s="1486"/>
      <c r="CY91" s="1486"/>
      <c r="CZ91" s="1486"/>
    </row>
    <row r="92" spans="1:104" s="67" customFormat="1" ht="31.15" customHeight="1">
      <c r="A92" s="1130" t="s">
        <v>720</v>
      </c>
      <c r="B92" s="1131" t="s">
        <v>1131</v>
      </c>
      <c r="C92" s="44"/>
      <c r="D92" s="44"/>
      <c r="E92" s="44"/>
      <c r="F92" s="415">
        <f>'дод1.1'!E102</f>
        <v>1038355</v>
      </c>
      <c r="G92" s="415">
        <f>'дод 1.2'!E1930</f>
        <v>585000</v>
      </c>
      <c r="H92" s="415">
        <f t="shared" si="27"/>
        <v>1623355</v>
      </c>
      <c r="I92" s="66">
        <v>772400</v>
      </c>
      <c r="J92" s="49"/>
      <c r="K92" s="49"/>
      <c r="L92" s="49"/>
      <c r="M92" s="49"/>
      <c r="N92" s="66"/>
      <c r="O92" s="66"/>
      <c r="P92" s="49"/>
      <c r="Q92" s="66">
        <f t="shared" si="28"/>
        <v>250000</v>
      </c>
      <c r="R92" s="66">
        <v>250000</v>
      </c>
      <c r="S92" s="49"/>
      <c r="T92" s="66">
        <f t="shared" si="29"/>
        <v>0</v>
      </c>
      <c r="U92" s="49"/>
      <c r="V92" s="49"/>
      <c r="W92" s="79"/>
      <c r="X92" s="66">
        <f t="shared" si="30"/>
        <v>2900</v>
      </c>
      <c r="Y92" s="66">
        <v>2900</v>
      </c>
      <c r="Z92" s="49"/>
      <c r="AA92" s="66"/>
      <c r="AB92" s="49"/>
      <c r="AC92" s="49"/>
      <c r="AD92" s="90">
        <f t="shared" si="31"/>
        <v>0</v>
      </c>
      <c r="AE92" s="66"/>
      <c r="AF92" s="49"/>
      <c r="AG92" s="49"/>
      <c r="AH92" s="90">
        <f t="shared" si="32"/>
        <v>23500</v>
      </c>
      <c r="AI92" s="66">
        <v>17700</v>
      </c>
      <c r="AJ92" s="66">
        <v>5800</v>
      </c>
      <c r="AK92" s="66"/>
      <c r="AL92" s="66"/>
      <c r="AM92" s="66"/>
      <c r="AN92" s="66"/>
      <c r="AO92" s="66"/>
      <c r="AP92" s="90">
        <f t="shared" si="33"/>
        <v>173590</v>
      </c>
      <c r="AQ92" s="66">
        <v>44040</v>
      </c>
      <c r="AR92" s="66">
        <v>45250</v>
      </c>
      <c r="AS92" s="66">
        <v>81000</v>
      </c>
      <c r="AT92" s="66">
        <v>3300</v>
      </c>
      <c r="AU92" s="66"/>
      <c r="AV92" s="66"/>
      <c r="AW92" s="66"/>
      <c r="AX92" s="66"/>
      <c r="AY92" s="51"/>
      <c r="AZ92" s="66"/>
      <c r="BA92" s="66"/>
      <c r="BB92" s="49"/>
      <c r="BC92" s="49"/>
      <c r="BD92" s="49"/>
      <c r="BE92" s="49"/>
      <c r="BF92" s="49"/>
      <c r="BG92" s="49"/>
      <c r="BH92" s="90">
        <f t="shared" si="34"/>
        <v>0</v>
      </c>
      <c r="BI92" s="90">
        <v>0</v>
      </c>
      <c r="BJ92" s="66"/>
      <c r="BK92" s="49"/>
      <c r="BL92" s="49"/>
      <c r="BM92" s="49"/>
      <c r="BN92" s="49"/>
      <c r="BO92" s="49"/>
      <c r="BP92" s="49"/>
      <c r="BQ92" s="66">
        <f t="shared" si="35"/>
        <v>0</v>
      </c>
      <c r="BR92" s="49"/>
      <c r="BS92" s="49"/>
      <c r="BT92" s="49"/>
      <c r="BU92" s="49"/>
      <c r="BV92" s="49"/>
      <c r="BW92" s="49"/>
      <c r="BX92" s="90">
        <f t="shared" si="25"/>
        <v>0</v>
      </c>
      <c r="BY92" s="90">
        <v>0</v>
      </c>
      <c r="BZ92" s="90"/>
      <c r="CA92" s="90"/>
      <c r="CB92" s="90"/>
      <c r="CC92" s="91"/>
      <c r="CD92" s="91"/>
      <c r="CE92" s="49"/>
      <c r="CF92" s="66">
        <f t="shared" si="26"/>
        <v>0</v>
      </c>
      <c r="CG92" s="49"/>
      <c r="CH92" s="49"/>
      <c r="CI92" s="51">
        <f t="shared" si="36"/>
        <v>1222390</v>
      </c>
      <c r="CJ92" s="81"/>
      <c r="CK92" s="367"/>
      <c r="CL92" s="367"/>
      <c r="CM92" s="81"/>
      <c r="CN92" s="367"/>
      <c r="CO92" s="367"/>
      <c r="CP92" s="1486"/>
      <c r="CQ92" s="1486"/>
      <c r="CR92" s="367"/>
      <c r="CS92" s="1486"/>
      <c r="CT92" s="1485"/>
      <c r="CU92" s="1485">
        <f t="shared" si="37"/>
        <v>0</v>
      </c>
      <c r="CV92" s="1486"/>
      <c r="CW92" s="1486"/>
      <c r="CX92" s="1486"/>
      <c r="CY92" s="1486"/>
      <c r="CZ92" s="1486"/>
    </row>
    <row r="93" spans="1:104" s="67" customFormat="1" ht="31.15" customHeight="1">
      <c r="A93" s="1130" t="s">
        <v>1081</v>
      </c>
      <c r="B93" s="1133" t="s">
        <v>1132</v>
      </c>
      <c r="C93" s="44"/>
      <c r="D93" s="44"/>
      <c r="E93" s="44"/>
      <c r="F93" s="415"/>
      <c r="G93" s="415"/>
      <c r="H93" s="415">
        <f t="shared" si="27"/>
        <v>0</v>
      </c>
      <c r="I93" s="66">
        <v>1892300</v>
      </c>
      <c r="J93" s="49"/>
      <c r="K93" s="49"/>
      <c r="L93" s="49"/>
      <c r="M93" s="49"/>
      <c r="N93" s="66"/>
      <c r="O93" s="66"/>
      <c r="P93" s="49"/>
      <c r="Q93" s="66">
        <f t="shared" si="28"/>
        <v>509500</v>
      </c>
      <c r="R93" s="66">
        <v>490500</v>
      </c>
      <c r="S93" s="49"/>
      <c r="T93" s="66">
        <f t="shared" si="29"/>
        <v>19000</v>
      </c>
      <c r="U93" s="66">
        <v>3000</v>
      </c>
      <c r="V93" s="66">
        <v>16000</v>
      </c>
      <c r="W93" s="79"/>
      <c r="X93" s="66">
        <f t="shared" si="30"/>
        <v>0</v>
      </c>
      <c r="Y93" s="49"/>
      <c r="Z93" s="49"/>
      <c r="AA93" s="66"/>
      <c r="AB93" s="49"/>
      <c r="AC93" s="49"/>
      <c r="AD93" s="90">
        <f t="shared" si="31"/>
        <v>0</v>
      </c>
      <c r="AE93" s="66"/>
      <c r="AF93" s="49"/>
      <c r="AG93" s="49"/>
      <c r="AH93" s="90">
        <f t="shared" si="32"/>
        <v>47000</v>
      </c>
      <c r="AI93" s="66">
        <v>35500</v>
      </c>
      <c r="AJ93" s="66">
        <v>11500</v>
      </c>
      <c r="AK93" s="66"/>
      <c r="AL93" s="66"/>
      <c r="AM93" s="66"/>
      <c r="AN93" s="66"/>
      <c r="AO93" s="66"/>
      <c r="AP93" s="90">
        <f t="shared" si="33"/>
        <v>190090</v>
      </c>
      <c r="AQ93" s="66">
        <v>44040</v>
      </c>
      <c r="AR93" s="66">
        <v>61750</v>
      </c>
      <c r="AS93" s="66">
        <v>81000</v>
      </c>
      <c r="AT93" s="66">
        <v>3300</v>
      </c>
      <c r="AU93" s="66"/>
      <c r="AV93" s="66">
        <v>5000</v>
      </c>
      <c r="AW93" s="66">
        <v>5000</v>
      </c>
      <c r="AX93" s="66"/>
      <c r="AY93" s="51"/>
      <c r="AZ93" s="66"/>
      <c r="BA93" s="66"/>
      <c r="BB93" s="49"/>
      <c r="BC93" s="49"/>
      <c r="BD93" s="49"/>
      <c r="BE93" s="49"/>
      <c r="BF93" s="49"/>
      <c r="BG93" s="49"/>
      <c r="BH93" s="90">
        <f t="shared" si="34"/>
        <v>35994</v>
      </c>
      <c r="BI93" s="90">
        <v>35994</v>
      </c>
      <c r="BJ93" s="90"/>
      <c r="BK93" s="49"/>
      <c r="BL93" s="49"/>
      <c r="BM93" s="49"/>
      <c r="BN93" s="49"/>
      <c r="BO93" s="49"/>
      <c r="BP93" s="49"/>
      <c r="BQ93" s="66">
        <f t="shared" si="35"/>
        <v>0</v>
      </c>
      <c r="BR93" s="49"/>
      <c r="BS93" s="49"/>
      <c r="BT93" s="49"/>
      <c r="BU93" s="49"/>
      <c r="BV93" s="49"/>
      <c r="BW93" s="49"/>
      <c r="BX93" s="90">
        <f t="shared" si="25"/>
        <v>0</v>
      </c>
      <c r="BY93" s="90"/>
      <c r="BZ93" s="90"/>
      <c r="CA93" s="90"/>
      <c r="CB93" s="90"/>
      <c r="CC93" s="91"/>
      <c r="CD93" s="91"/>
      <c r="CE93" s="49"/>
      <c r="CF93" s="49"/>
      <c r="CG93" s="49"/>
      <c r="CH93" s="49"/>
      <c r="CI93" s="51">
        <f t="shared" si="36"/>
        <v>2679884</v>
      </c>
      <c r="CJ93" s="81"/>
      <c r="CK93" s="367"/>
      <c r="CL93" s="367"/>
      <c r="CM93" s="81"/>
      <c r="CN93" s="367"/>
      <c r="CO93" s="367"/>
      <c r="CP93" s="1486"/>
      <c r="CQ93" s="1486"/>
      <c r="CR93" s="367"/>
      <c r="CS93" s="1486"/>
      <c r="CT93" s="1485"/>
      <c r="CU93" s="1485">
        <f t="shared" si="37"/>
        <v>0</v>
      </c>
      <c r="CV93" s="1486"/>
      <c r="CW93" s="1486"/>
      <c r="CX93" s="1486"/>
      <c r="CY93" s="1486"/>
      <c r="CZ93" s="1486"/>
    </row>
    <row r="94" spans="1:104" s="67" customFormat="1" ht="31.15" customHeight="1">
      <c r="A94" s="1130" t="s">
        <v>1082</v>
      </c>
      <c r="B94" s="1133" t="s">
        <v>1133</v>
      </c>
      <c r="C94" s="44"/>
      <c r="D94" s="44"/>
      <c r="E94" s="44"/>
      <c r="F94" s="415">
        <f>'дод1.1'!E130</f>
        <v>11000</v>
      </c>
      <c r="G94" s="415"/>
      <c r="H94" s="415">
        <f t="shared" si="27"/>
        <v>11000</v>
      </c>
      <c r="I94" s="66">
        <v>1916400</v>
      </c>
      <c r="J94" s="49"/>
      <c r="K94" s="49"/>
      <c r="L94" s="49"/>
      <c r="M94" s="49"/>
      <c r="N94" s="66"/>
      <c r="O94" s="66"/>
      <c r="P94" s="49"/>
      <c r="Q94" s="66">
        <f t="shared" si="28"/>
        <v>0</v>
      </c>
      <c r="R94" s="66"/>
      <c r="S94" s="49"/>
      <c r="T94" s="66">
        <f t="shared" si="29"/>
        <v>0</v>
      </c>
      <c r="U94" s="49"/>
      <c r="V94" s="49"/>
      <c r="W94" s="79"/>
      <c r="X94" s="66">
        <f t="shared" si="30"/>
        <v>0</v>
      </c>
      <c r="Y94" s="49"/>
      <c r="Z94" s="49"/>
      <c r="AA94" s="66"/>
      <c r="AB94" s="49"/>
      <c r="AC94" s="49"/>
      <c r="AD94" s="90">
        <f t="shared" si="31"/>
        <v>0</v>
      </c>
      <c r="AE94" s="66"/>
      <c r="AF94" s="49"/>
      <c r="AG94" s="49"/>
      <c r="AH94" s="90">
        <f t="shared" si="32"/>
        <v>0</v>
      </c>
      <c r="AI94" s="66">
        <v>0</v>
      </c>
      <c r="AJ94" s="66"/>
      <c r="AK94" s="66"/>
      <c r="AL94" s="66"/>
      <c r="AM94" s="66"/>
      <c r="AN94" s="66"/>
      <c r="AO94" s="66"/>
      <c r="AP94" s="90">
        <f t="shared" si="33"/>
        <v>252460</v>
      </c>
      <c r="AQ94" s="66">
        <v>57810</v>
      </c>
      <c r="AR94" s="66">
        <v>48500</v>
      </c>
      <c r="AS94" s="66">
        <v>141750</v>
      </c>
      <c r="AT94" s="66">
        <v>4400</v>
      </c>
      <c r="AU94" s="66"/>
      <c r="AV94" s="66"/>
      <c r="AW94" s="66"/>
      <c r="AX94" s="66"/>
      <c r="AY94" s="51"/>
      <c r="AZ94" s="66"/>
      <c r="BA94" s="66"/>
      <c r="BB94" s="49"/>
      <c r="BC94" s="49"/>
      <c r="BD94" s="49"/>
      <c r="BE94" s="49"/>
      <c r="BF94" s="49"/>
      <c r="BG94" s="49"/>
      <c r="BH94" s="90">
        <f t="shared" si="34"/>
        <v>0</v>
      </c>
      <c r="BI94" s="90"/>
      <c r="BJ94" s="90"/>
      <c r="BK94" s="49"/>
      <c r="BL94" s="49"/>
      <c r="BM94" s="49"/>
      <c r="BN94" s="49"/>
      <c r="BO94" s="49"/>
      <c r="BP94" s="49"/>
      <c r="BQ94" s="66"/>
      <c r="BR94" s="49"/>
      <c r="BS94" s="49"/>
      <c r="BT94" s="49"/>
      <c r="BU94" s="49"/>
      <c r="BV94" s="49"/>
      <c r="BW94" s="49"/>
      <c r="BX94" s="90">
        <f t="shared" si="25"/>
        <v>0</v>
      </c>
      <c r="BY94" s="90"/>
      <c r="BZ94" s="90"/>
      <c r="CA94" s="90"/>
      <c r="CB94" s="90"/>
      <c r="CC94" s="91"/>
      <c r="CD94" s="91"/>
      <c r="CE94" s="49"/>
      <c r="CF94" s="49"/>
      <c r="CG94" s="49"/>
      <c r="CH94" s="49"/>
      <c r="CI94" s="51">
        <f t="shared" si="36"/>
        <v>2168860</v>
      </c>
      <c r="CJ94" s="81"/>
      <c r="CK94" s="367"/>
      <c r="CL94" s="367"/>
      <c r="CM94" s="81"/>
      <c r="CN94" s="367"/>
      <c r="CO94" s="367"/>
      <c r="CP94" s="1486"/>
      <c r="CQ94" s="1486"/>
      <c r="CR94" s="367"/>
      <c r="CS94" s="1486"/>
      <c r="CT94" s="1485"/>
      <c r="CU94" s="1485"/>
      <c r="CV94" s="1486"/>
      <c r="CW94" s="1486"/>
      <c r="CX94" s="1486"/>
      <c r="CY94" s="1486"/>
      <c r="CZ94" s="1486"/>
    </row>
    <row r="95" spans="1:104" s="67" customFormat="1" ht="31.15" customHeight="1">
      <c r="A95" s="1130" t="s">
        <v>1083</v>
      </c>
      <c r="B95" s="1133" t="s">
        <v>1134</v>
      </c>
      <c r="C95" s="44"/>
      <c r="D95" s="44"/>
      <c r="E95" s="44"/>
      <c r="F95" s="415">
        <f>'дод1.1'!E126</f>
        <v>1020000</v>
      </c>
      <c r="G95" s="415"/>
      <c r="H95" s="415">
        <f t="shared" si="27"/>
        <v>1020000</v>
      </c>
      <c r="I95" s="66">
        <v>3544700</v>
      </c>
      <c r="J95" s="49"/>
      <c r="K95" s="49"/>
      <c r="L95" s="49"/>
      <c r="M95" s="49"/>
      <c r="N95" s="66"/>
      <c r="O95" s="66"/>
      <c r="P95" s="49"/>
      <c r="Q95" s="66">
        <f t="shared" si="28"/>
        <v>450000</v>
      </c>
      <c r="R95" s="66">
        <v>450000</v>
      </c>
      <c r="S95" s="49"/>
      <c r="T95" s="66">
        <f t="shared" si="29"/>
        <v>0</v>
      </c>
      <c r="U95" s="49"/>
      <c r="V95" s="49"/>
      <c r="W95" s="79"/>
      <c r="X95" s="66">
        <f t="shared" si="30"/>
        <v>0</v>
      </c>
      <c r="Y95" s="49"/>
      <c r="Z95" s="49"/>
      <c r="AA95" s="66"/>
      <c r="AB95" s="49"/>
      <c r="AC95" s="49"/>
      <c r="AD95" s="90">
        <f t="shared" si="31"/>
        <v>0</v>
      </c>
      <c r="AE95" s="66"/>
      <c r="AF95" s="49"/>
      <c r="AG95" s="49"/>
      <c r="AH95" s="90">
        <f t="shared" si="32"/>
        <v>0</v>
      </c>
      <c r="AI95" s="66">
        <v>0</v>
      </c>
      <c r="AJ95" s="66"/>
      <c r="AK95" s="66"/>
      <c r="AL95" s="66"/>
      <c r="AM95" s="66"/>
      <c r="AN95" s="66"/>
      <c r="AO95" s="66"/>
      <c r="AP95" s="90">
        <f t="shared" si="33"/>
        <v>348400</v>
      </c>
      <c r="AQ95" s="66">
        <v>85340</v>
      </c>
      <c r="AR95" s="66">
        <v>115510</v>
      </c>
      <c r="AS95" s="66">
        <v>141750</v>
      </c>
      <c r="AT95" s="66">
        <v>5800</v>
      </c>
      <c r="AU95" s="66"/>
      <c r="AV95" s="66">
        <v>16622</v>
      </c>
      <c r="AW95" s="66">
        <v>16622</v>
      </c>
      <c r="AX95" s="66"/>
      <c r="AY95" s="51"/>
      <c r="AZ95" s="66"/>
      <c r="BA95" s="66"/>
      <c r="BB95" s="49"/>
      <c r="BC95" s="49"/>
      <c r="BD95" s="49"/>
      <c r="BE95" s="49"/>
      <c r="BF95" s="49"/>
      <c r="BG95" s="49"/>
      <c r="BH95" s="90">
        <f t="shared" si="34"/>
        <v>39850</v>
      </c>
      <c r="BI95" s="90">
        <v>10000</v>
      </c>
      <c r="BJ95" s="90">
        <v>29850</v>
      </c>
      <c r="BK95" s="49"/>
      <c r="BL95" s="49"/>
      <c r="BM95" s="49"/>
      <c r="BN95" s="49"/>
      <c r="BO95" s="49"/>
      <c r="BP95" s="49"/>
      <c r="BQ95" s="66"/>
      <c r="BR95" s="49"/>
      <c r="BS95" s="49"/>
      <c r="BT95" s="49"/>
      <c r="BU95" s="49"/>
      <c r="BV95" s="49"/>
      <c r="BW95" s="49"/>
      <c r="BX95" s="90">
        <f t="shared" si="25"/>
        <v>364150</v>
      </c>
      <c r="BY95" s="90">
        <v>195000</v>
      </c>
      <c r="BZ95" s="90">
        <v>169150</v>
      </c>
      <c r="CA95" s="90"/>
      <c r="CB95" s="90"/>
      <c r="CC95" s="91"/>
      <c r="CD95" s="91"/>
      <c r="CE95" s="49"/>
      <c r="CF95" s="49"/>
      <c r="CG95" s="49"/>
      <c r="CH95" s="49"/>
      <c r="CI95" s="51">
        <f t="shared" si="36"/>
        <v>4763722</v>
      </c>
      <c r="CJ95" s="81"/>
      <c r="CK95" s="367"/>
      <c r="CL95" s="367"/>
      <c r="CM95" s="81"/>
      <c r="CN95" s="367"/>
      <c r="CO95" s="367"/>
      <c r="CP95" s="1486"/>
      <c r="CQ95" s="1486"/>
      <c r="CR95" s="367"/>
      <c r="CS95" s="1486"/>
      <c r="CT95" s="1485"/>
      <c r="CU95" s="1485"/>
      <c r="CV95" s="1486"/>
      <c r="CW95" s="1486"/>
      <c r="CX95" s="1486"/>
      <c r="CY95" s="1486"/>
      <c r="CZ95" s="1486"/>
    </row>
    <row r="96" spans="1:104" s="67" customFormat="1" ht="31.15" customHeight="1">
      <c r="A96" s="1130" t="s">
        <v>1084</v>
      </c>
      <c r="B96" s="1133" t="s">
        <v>1135</v>
      </c>
      <c r="C96" s="44"/>
      <c r="D96" s="44"/>
      <c r="E96" s="44"/>
      <c r="F96" s="415">
        <f>'дод1.1'!E99</f>
        <v>720000</v>
      </c>
      <c r="G96" s="415"/>
      <c r="H96" s="415">
        <f t="shared" si="27"/>
        <v>720000</v>
      </c>
      <c r="I96" s="66">
        <v>1510900</v>
      </c>
      <c r="J96" s="49"/>
      <c r="K96" s="49"/>
      <c r="L96" s="49"/>
      <c r="M96" s="49"/>
      <c r="N96" s="66"/>
      <c r="O96" s="66"/>
      <c r="P96" s="49"/>
      <c r="Q96" s="66">
        <f t="shared" si="28"/>
        <v>0</v>
      </c>
      <c r="R96" s="66"/>
      <c r="S96" s="49"/>
      <c r="T96" s="66">
        <f t="shared" si="29"/>
        <v>0</v>
      </c>
      <c r="U96" s="49"/>
      <c r="V96" s="49"/>
      <c r="W96" s="79"/>
      <c r="X96" s="66">
        <f t="shared" si="30"/>
        <v>0</v>
      </c>
      <c r="Y96" s="49"/>
      <c r="Z96" s="49"/>
      <c r="AA96" s="66"/>
      <c r="AB96" s="49"/>
      <c r="AC96" s="49"/>
      <c r="AD96" s="90">
        <f t="shared" si="31"/>
        <v>0</v>
      </c>
      <c r="AE96" s="66"/>
      <c r="AF96" s="49"/>
      <c r="AG96" s="49"/>
      <c r="AH96" s="90">
        <f t="shared" si="32"/>
        <v>0</v>
      </c>
      <c r="AI96" s="66">
        <v>0</v>
      </c>
      <c r="AJ96" s="66"/>
      <c r="AK96" s="66"/>
      <c r="AL96" s="66"/>
      <c r="AM96" s="66"/>
      <c r="AN96" s="66"/>
      <c r="AO96" s="66"/>
      <c r="AP96" s="90">
        <f t="shared" si="33"/>
        <v>140290</v>
      </c>
      <c r="AQ96" s="66">
        <v>38540</v>
      </c>
      <c r="AR96" s="66">
        <v>38000</v>
      </c>
      <c r="AS96" s="66">
        <v>60750</v>
      </c>
      <c r="AT96" s="66">
        <v>3000</v>
      </c>
      <c r="AU96" s="66"/>
      <c r="AV96" s="66">
        <v>296620</v>
      </c>
      <c r="AW96" s="66">
        <v>296620</v>
      </c>
      <c r="AX96" s="66"/>
      <c r="AY96" s="51"/>
      <c r="AZ96" s="66"/>
      <c r="BA96" s="66"/>
      <c r="BB96" s="49"/>
      <c r="BC96" s="66">
        <v>68800</v>
      </c>
      <c r="BD96" s="49"/>
      <c r="BE96" s="49"/>
      <c r="BF96" s="49"/>
      <c r="BG96" s="49"/>
      <c r="BH96" s="90">
        <f t="shared" si="34"/>
        <v>0</v>
      </c>
      <c r="BI96" s="90"/>
      <c r="BJ96" s="90"/>
      <c r="BK96" s="49"/>
      <c r="BL96" s="49"/>
      <c r="BM96" s="49"/>
      <c r="BN96" s="49"/>
      <c r="BO96" s="49"/>
      <c r="BP96" s="49"/>
      <c r="BQ96" s="66">
        <f t="shared" si="35"/>
        <v>0</v>
      </c>
      <c r="BR96" s="49"/>
      <c r="BS96" s="49"/>
      <c r="BT96" s="49"/>
      <c r="BU96" s="49"/>
      <c r="BV96" s="49"/>
      <c r="BW96" s="49"/>
      <c r="BX96" s="90">
        <f t="shared" si="25"/>
        <v>690000</v>
      </c>
      <c r="BY96" s="90"/>
      <c r="BZ96" s="90">
        <v>690000</v>
      </c>
      <c r="CA96" s="90"/>
      <c r="CB96" s="90"/>
      <c r="CC96" s="91"/>
      <c r="CD96" s="91"/>
      <c r="CE96" s="49"/>
      <c r="CF96" s="49"/>
      <c r="CG96" s="49"/>
      <c r="CH96" s="49"/>
      <c r="CI96" s="51">
        <f t="shared" si="36"/>
        <v>2706610</v>
      </c>
      <c r="CJ96" s="81"/>
      <c r="CK96" s="367"/>
      <c r="CL96" s="367"/>
      <c r="CM96" s="81"/>
      <c r="CN96" s="367"/>
      <c r="CO96" s="367"/>
      <c r="CP96" s="1486"/>
      <c r="CQ96" s="1486"/>
      <c r="CR96" s="367"/>
      <c r="CS96" s="1486"/>
      <c r="CT96" s="1485"/>
      <c r="CU96" s="1485">
        <f t="shared" si="37"/>
        <v>0</v>
      </c>
      <c r="CV96" s="1486"/>
      <c r="CW96" s="1486"/>
      <c r="CX96" s="1486"/>
      <c r="CY96" s="1486"/>
      <c r="CZ96" s="1486"/>
    </row>
    <row r="97" spans="1:104" s="67" customFormat="1" ht="31.15" customHeight="1">
      <c r="A97" s="1130" t="s">
        <v>1085</v>
      </c>
      <c r="B97" s="1133" t="s">
        <v>1136</v>
      </c>
      <c r="C97" s="44"/>
      <c r="D97" s="44"/>
      <c r="E97" s="44"/>
      <c r="F97" s="415"/>
      <c r="G97" s="415"/>
      <c r="H97" s="415">
        <f t="shared" si="27"/>
        <v>0</v>
      </c>
      <c r="I97" s="66">
        <v>4092800</v>
      </c>
      <c r="J97" s="49"/>
      <c r="K97" s="49"/>
      <c r="L97" s="49"/>
      <c r="M97" s="49"/>
      <c r="N97" s="66"/>
      <c r="O97" s="66"/>
      <c r="P97" s="49"/>
      <c r="Q97" s="66">
        <f t="shared" si="28"/>
        <v>614500</v>
      </c>
      <c r="R97" s="66">
        <v>600000</v>
      </c>
      <c r="S97" s="49"/>
      <c r="T97" s="66">
        <f t="shared" si="29"/>
        <v>14500</v>
      </c>
      <c r="U97" s="49"/>
      <c r="V97" s="66">
        <v>14500</v>
      </c>
      <c r="W97" s="79"/>
      <c r="X97" s="66">
        <f t="shared" si="30"/>
        <v>0</v>
      </c>
      <c r="Y97" s="49"/>
      <c r="Z97" s="49"/>
      <c r="AA97" s="66"/>
      <c r="AB97" s="49"/>
      <c r="AC97" s="49"/>
      <c r="AD97" s="90">
        <f t="shared" si="31"/>
        <v>0</v>
      </c>
      <c r="AE97" s="66"/>
      <c r="AF97" s="49"/>
      <c r="AG97" s="49"/>
      <c r="AH97" s="90">
        <f t="shared" si="32"/>
        <v>47000</v>
      </c>
      <c r="AI97" s="66">
        <v>35500</v>
      </c>
      <c r="AJ97" s="66">
        <v>11500</v>
      </c>
      <c r="AK97" s="66"/>
      <c r="AL97" s="66"/>
      <c r="AM97" s="66"/>
      <c r="AN97" s="66"/>
      <c r="AO97" s="66"/>
      <c r="AP97" s="90">
        <f t="shared" si="33"/>
        <v>535590</v>
      </c>
      <c r="AQ97" s="66">
        <v>132130</v>
      </c>
      <c r="AR97" s="66">
        <v>148260</v>
      </c>
      <c r="AS97" s="66">
        <v>243000</v>
      </c>
      <c r="AT97" s="66">
        <v>12200</v>
      </c>
      <c r="AU97" s="66"/>
      <c r="AV97" s="66">
        <v>668900</v>
      </c>
      <c r="AW97" s="66">
        <v>668900</v>
      </c>
      <c r="AX97" s="66"/>
      <c r="AY97" s="51"/>
      <c r="AZ97" s="66"/>
      <c r="BA97" s="66"/>
      <c r="BB97" s="49"/>
      <c r="BC97" s="49"/>
      <c r="BD97" s="49"/>
      <c r="BE97" s="49"/>
      <c r="BF97" s="49"/>
      <c r="BG97" s="49"/>
      <c r="BH97" s="90">
        <f t="shared" si="34"/>
        <v>8000</v>
      </c>
      <c r="BI97" s="90">
        <v>8000</v>
      </c>
      <c r="BJ97" s="90"/>
      <c r="BK97" s="49"/>
      <c r="BL97" s="49"/>
      <c r="BM97" s="49"/>
      <c r="BN97" s="49"/>
      <c r="BO97" s="49"/>
      <c r="BP97" s="49"/>
      <c r="BQ97" s="66">
        <f t="shared" si="35"/>
        <v>0</v>
      </c>
      <c r="BR97" s="49"/>
      <c r="BS97" s="49"/>
      <c r="BT97" s="49"/>
      <c r="BU97" s="49"/>
      <c r="BV97" s="49"/>
      <c r="BW97" s="49"/>
      <c r="BX97" s="90">
        <f t="shared" si="25"/>
        <v>15000</v>
      </c>
      <c r="BY97" s="90"/>
      <c r="BZ97" s="90">
        <v>15000</v>
      </c>
      <c r="CA97" s="90"/>
      <c r="CB97" s="90"/>
      <c r="CC97" s="91"/>
      <c r="CD97" s="91"/>
      <c r="CE97" s="49"/>
      <c r="CF97" s="49"/>
      <c r="CG97" s="49"/>
      <c r="CH97" s="49"/>
      <c r="CI97" s="51">
        <f t="shared" si="36"/>
        <v>5981790</v>
      </c>
      <c r="CJ97" s="81"/>
      <c r="CK97" s="367"/>
      <c r="CL97" s="367"/>
      <c r="CM97" s="81"/>
      <c r="CN97" s="367"/>
      <c r="CO97" s="367"/>
      <c r="CP97" s="1486"/>
      <c r="CQ97" s="1486"/>
      <c r="CR97" s="367"/>
      <c r="CS97" s="1486"/>
      <c r="CT97" s="1485"/>
      <c r="CU97" s="1485">
        <f t="shared" si="37"/>
        <v>0</v>
      </c>
      <c r="CV97" s="1486"/>
      <c r="CW97" s="1486"/>
      <c r="CX97" s="1486"/>
      <c r="CY97" s="1486"/>
      <c r="CZ97" s="1486"/>
    </row>
    <row r="98" spans="1:104" s="67" customFormat="1" ht="31.15" customHeight="1">
      <c r="A98" s="1130" t="s">
        <v>1086</v>
      </c>
      <c r="B98" s="1133" t="s">
        <v>1137</v>
      </c>
      <c r="C98" s="44"/>
      <c r="D98" s="44"/>
      <c r="E98" s="44"/>
      <c r="F98" s="415">
        <f>'дод1.1'!E106</f>
        <v>731000</v>
      </c>
      <c r="G98" s="415"/>
      <c r="H98" s="415">
        <f t="shared" si="27"/>
        <v>731000</v>
      </c>
      <c r="I98" s="66">
        <v>1104700</v>
      </c>
      <c r="J98" s="49"/>
      <c r="K98" s="49"/>
      <c r="L98" s="49"/>
      <c r="M98" s="49"/>
      <c r="N98" s="66"/>
      <c r="O98" s="66"/>
      <c r="P98" s="49"/>
      <c r="Q98" s="66">
        <f t="shared" si="28"/>
        <v>250000</v>
      </c>
      <c r="R98" s="66">
        <v>250000</v>
      </c>
      <c r="S98" s="49"/>
      <c r="T98" s="66">
        <f t="shared" si="29"/>
        <v>0</v>
      </c>
      <c r="U98" s="49"/>
      <c r="V98" s="49"/>
      <c r="W98" s="79"/>
      <c r="X98" s="66">
        <f t="shared" si="30"/>
        <v>0</v>
      </c>
      <c r="Y98" s="49"/>
      <c r="Z98" s="49"/>
      <c r="AA98" s="66"/>
      <c r="AB98" s="49"/>
      <c r="AC98" s="49"/>
      <c r="AD98" s="90">
        <f t="shared" si="31"/>
        <v>0</v>
      </c>
      <c r="AE98" s="66"/>
      <c r="AF98" s="49"/>
      <c r="AG98" s="49"/>
      <c r="AH98" s="90">
        <f t="shared" si="32"/>
        <v>0</v>
      </c>
      <c r="AI98" s="66">
        <v>0</v>
      </c>
      <c r="AJ98" s="66"/>
      <c r="AK98" s="66"/>
      <c r="AL98" s="66"/>
      <c r="AM98" s="66"/>
      <c r="AN98" s="66"/>
      <c r="AO98" s="66"/>
      <c r="AP98" s="90">
        <f t="shared" si="33"/>
        <v>156840</v>
      </c>
      <c r="AQ98" s="66">
        <v>38540</v>
      </c>
      <c r="AR98" s="66">
        <v>34000</v>
      </c>
      <c r="AS98" s="66">
        <v>81000</v>
      </c>
      <c r="AT98" s="66">
        <v>3300</v>
      </c>
      <c r="AU98" s="66"/>
      <c r="AV98" s="66">
        <v>229580</v>
      </c>
      <c r="AW98" s="66">
        <v>229580</v>
      </c>
      <c r="AX98" s="66"/>
      <c r="AY98" s="51"/>
      <c r="AZ98" s="66"/>
      <c r="BA98" s="66"/>
      <c r="BB98" s="49"/>
      <c r="BC98" s="49"/>
      <c r="BD98" s="49"/>
      <c r="BE98" s="49"/>
      <c r="BF98" s="49"/>
      <c r="BG98" s="49"/>
      <c r="BH98" s="90">
        <f t="shared" si="34"/>
        <v>0</v>
      </c>
      <c r="BI98" s="90"/>
      <c r="BJ98" s="90"/>
      <c r="BK98" s="49"/>
      <c r="BL98" s="49"/>
      <c r="BM98" s="49"/>
      <c r="BN98" s="49"/>
      <c r="BO98" s="49"/>
      <c r="BP98" s="49"/>
      <c r="BQ98" s="66">
        <f t="shared" si="35"/>
        <v>0</v>
      </c>
      <c r="BR98" s="49"/>
      <c r="BS98" s="49"/>
      <c r="BT98" s="49"/>
      <c r="BU98" s="49"/>
      <c r="BV98" s="49"/>
      <c r="BW98" s="49"/>
      <c r="BX98" s="90">
        <f t="shared" si="25"/>
        <v>0</v>
      </c>
      <c r="BY98" s="90"/>
      <c r="BZ98" s="90"/>
      <c r="CA98" s="90"/>
      <c r="CB98" s="90"/>
      <c r="CC98" s="91"/>
      <c r="CD98" s="91"/>
      <c r="CE98" s="49"/>
      <c r="CF98" s="49"/>
      <c r="CG98" s="49"/>
      <c r="CH98" s="49"/>
      <c r="CI98" s="51">
        <f t="shared" si="36"/>
        <v>1741120</v>
      </c>
      <c r="CJ98" s="81"/>
      <c r="CK98" s="367"/>
      <c r="CL98" s="367"/>
      <c r="CM98" s="81"/>
      <c r="CN98" s="367"/>
      <c r="CO98" s="367"/>
      <c r="CP98" s="1486"/>
      <c r="CQ98" s="1486"/>
      <c r="CR98" s="367"/>
      <c r="CS98" s="1486"/>
      <c r="CT98" s="1485"/>
      <c r="CU98" s="1485">
        <f t="shared" si="37"/>
        <v>0</v>
      </c>
      <c r="CV98" s="1486"/>
      <c r="CW98" s="1486"/>
      <c r="CX98" s="1486"/>
      <c r="CY98" s="1486"/>
      <c r="CZ98" s="1486"/>
    </row>
    <row r="99" spans="1:104" s="67" customFormat="1">
      <c r="A99" s="452"/>
      <c r="B99" s="1134" t="s">
        <v>314</v>
      </c>
      <c r="C99" s="100"/>
      <c r="D99" s="49">
        <f t="shared" ref="D99:J99" si="38">SUM(D48:D98)</f>
        <v>30000</v>
      </c>
      <c r="E99" s="49">
        <f t="shared" si="38"/>
        <v>6019783</v>
      </c>
      <c r="F99" s="1194">
        <f t="shared" si="38"/>
        <v>21350483</v>
      </c>
      <c r="G99" s="1194">
        <f t="shared" si="38"/>
        <v>10151762</v>
      </c>
      <c r="H99" s="1194">
        <f t="shared" si="38"/>
        <v>37552028</v>
      </c>
      <c r="I99" s="49">
        <f t="shared" si="38"/>
        <v>159896200</v>
      </c>
      <c r="J99" s="49">
        <f t="shared" si="38"/>
        <v>0</v>
      </c>
      <c r="K99" s="49">
        <f t="shared" ref="K99:CH99" si="39">SUM(K48:K98)</f>
        <v>0</v>
      </c>
      <c r="L99" s="49">
        <f t="shared" si="39"/>
        <v>0</v>
      </c>
      <c r="M99" s="49"/>
      <c r="N99" s="49">
        <f t="shared" si="39"/>
        <v>0</v>
      </c>
      <c r="O99" s="49"/>
      <c r="P99" s="49">
        <f t="shared" si="39"/>
        <v>0</v>
      </c>
      <c r="Q99" s="49">
        <f t="shared" si="39"/>
        <v>20898271</v>
      </c>
      <c r="R99" s="49">
        <f t="shared" si="39"/>
        <v>17590500</v>
      </c>
      <c r="S99" s="49">
        <f>SUM(S48:S98)</f>
        <v>1594320</v>
      </c>
      <c r="T99" s="49">
        <f>SUM(T48:T98)</f>
        <v>1713451</v>
      </c>
      <c r="U99" s="49">
        <f>SUM(U48:U98)</f>
        <v>412951</v>
      </c>
      <c r="V99" s="49">
        <f>SUM(V48:V98)</f>
        <v>1300500</v>
      </c>
      <c r="W99" s="79">
        <f t="shared" si="39"/>
        <v>709810</v>
      </c>
      <c r="X99" s="49">
        <f>SUM(X48:X98)</f>
        <v>4043800</v>
      </c>
      <c r="Y99" s="49">
        <f>SUM(Y48:Y98)</f>
        <v>677300</v>
      </c>
      <c r="Z99" s="49">
        <f>SUM(Z48:Z98)</f>
        <v>3366500</v>
      </c>
      <c r="AA99" s="49">
        <f t="shared" si="39"/>
        <v>1989149</v>
      </c>
      <c r="AB99" s="49">
        <f t="shared" si="39"/>
        <v>0</v>
      </c>
      <c r="AC99" s="49">
        <f t="shared" si="39"/>
        <v>0</v>
      </c>
      <c r="AD99" s="49">
        <f>AE99+AF99+AG99</f>
        <v>12605880</v>
      </c>
      <c r="AE99" s="49">
        <f>SUM(AE48:AE98)</f>
        <v>12498480</v>
      </c>
      <c r="AF99" s="49">
        <f>SUM(AF48:AF98)</f>
        <v>0</v>
      </c>
      <c r="AG99" s="49">
        <f>SUM(AG48:AG98)</f>
        <v>107400</v>
      </c>
      <c r="AH99" s="49">
        <f>SUM(AH48:AH98)</f>
        <v>5362200</v>
      </c>
      <c r="AI99" s="49">
        <f>SUM(AI48:AI98)</f>
        <v>3654500</v>
      </c>
      <c r="AJ99" s="49">
        <f t="shared" si="39"/>
        <v>1186400</v>
      </c>
      <c r="AK99" s="49">
        <f>SUM(AK48:AK98)</f>
        <v>0</v>
      </c>
      <c r="AL99" s="49">
        <f t="shared" si="39"/>
        <v>337200</v>
      </c>
      <c r="AM99" s="49">
        <f t="shared" ref="AM99:AW99" si="40">SUM(AM48:AM98)</f>
        <v>184100</v>
      </c>
      <c r="AN99" s="49">
        <f t="shared" si="40"/>
        <v>0</v>
      </c>
      <c r="AO99" s="49">
        <f t="shared" si="40"/>
        <v>0</v>
      </c>
      <c r="AP99" s="49">
        <f t="shared" si="40"/>
        <v>16300925</v>
      </c>
      <c r="AQ99" s="49">
        <f t="shared" si="40"/>
        <v>4120910</v>
      </c>
      <c r="AR99" s="49">
        <f t="shared" si="40"/>
        <v>5330560</v>
      </c>
      <c r="AS99" s="49">
        <f t="shared" si="40"/>
        <v>6500255</v>
      </c>
      <c r="AT99" s="49">
        <f t="shared" si="40"/>
        <v>349200</v>
      </c>
      <c r="AU99" s="49">
        <f t="shared" si="40"/>
        <v>0</v>
      </c>
      <c r="AV99" s="49">
        <f t="shared" si="40"/>
        <v>20660957</v>
      </c>
      <c r="AW99" s="49">
        <f t="shared" si="40"/>
        <v>20660957</v>
      </c>
      <c r="AX99" s="49"/>
      <c r="AY99" s="79"/>
      <c r="AZ99" s="49"/>
      <c r="BA99" s="49">
        <f t="shared" si="39"/>
        <v>0</v>
      </c>
      <c r="BB99" s="49">
        <f t="shared" si="39"/>
        <v>0</v>
      </c>
      <c r="BC99" s="49">
        <f t="shared" si="39"/>
        <v>852900</v>
      </c>
      <c r="BD99" s="49">
        <f t="shared" si="39"/>
        <v>0</v>
      </c>
      <c r="BE99" s="49">
        <f t="shared" si="39"/>
        <v>0</v>
      </c>
      <c r="BF99" s="49">
        <f t="shared" si="39"/>
        <v>0</v>
      </c>
      <c r="BG99" s="49">
        <f t="shared" si="39"/>
        <v>0</v>
      </c>
      <c r="BH99" s="49">
        <f t="shared" si="39"/>
        <v>3915660</v>
      </c>
      <c r="BI99" s="49">
        <f t="shared" si="39"/>
        <v>2416061</v>
      </c>
      <c r="BJ99" s="49">
        <f>SUM(BJ48:BJ98)</f>
        <v>1499599</v>
      </c>
      <c r="BK99" s="49">
        <f t="shared" si="39"/>
        <v>0</v>
      </c>
      <c r="BL99" s="49">
        <f>SUM(BL48:BL98)</f>
        <v>0</v>
      </c>
      <c r="BM99" s="49">
        <f t="shared" si="39"/>
        <v>0</v>
      </c>
      <c r="BN99" s="49">
        <f t="shared" si="39"/>
        <v>0</v>
      </c>
      <c r="BO99" s="49">
        <f t="shared" si="39"/>
        <v>0</v>
      </c>
      <c r="BP99" s="49">
        <f t="shared" si="39"/>
        <v>0</v>
      </c>
      <c r="BQ99" s="49">
        <f t="shared" si="39"/>
        <v>0</v>
      </c>
      <c r="BR99" s="49">
        <f t="shared" si="39"/>
        <v>0</v>
      </c>
      <c r="BS99" s="49">
        <f t="shared" si="39"/>
        <v>0</v>
      </c>
      <c r="BT99" s="49">
        <f t="shared" si="39"/>
        <v>0</v>
      </c>
      <c r="BU99" s="49">
        <f>SUM(BU48:BU98)</f>
        <v>0</v>
      </c>
      <c r="BV99" s="49">
        <f t="shared" si="39"/>
        <v>0</v>
      </c>
      <c r="BW99" s="49">
        <f>SUM(BW48:BW98)</f>
        <v>2208000</v>
      </c>
      <c r="BX99" s="49">
        <f t="shared" si="39"/>
        <v>8911754</v>
      </c>
      <c r="BY99" s="49">
        <f t="shared" si="39"/>
        <v>2262691</v>
      </c>
      <c r="BZ99" s="49">
        <f t="shared" si="39"/>
        <v>4701150</v>
      </c>
      <c r="CA99" s="91">
        <f t="shared" si="39"/>
        <v>0</v>
      </c>
      <c r="CB99" s="49">
        <f t="shared" si="39"/>
        <v>782913</v>
      </c>
      <c r="CC99" s="49">
        <f t="shared" si="39"/>
        <v>0</v>
      </c>
      <c r="CD99" s="49">
        <f t="shared" si="39"/>
        <v>0</v>
      </c>
      <c r="CE99" s="49">
        <f t="shared" si="39"/>
        <v>0</v>
      </c>
      <c r="CF99" s="49">
        <f t="shared" si="39"/>
        <v>1165000</v>
      </c>
      <c r="CG99" s="49">
        <f t="shared" si="39"/>
        <v>75000</v>
      </c>
      <c r="CH99" s="49">
        <f t="shared" si="39"/>
        <v>1090000</v>
      </c>
      <c r="CI99" s="79">
        <f t="shared" si="36"/>
        <v>258355506</v>
      </c>
      <c r="CJ99" s="81"/>
      <c r="CK99" s="367"/>
      <c r="CL99" s="81"/>
      <c r="CM99" s="81"/>
      <c r="CN99" s="367"/>
      <c r="CO99" s="365"/>
      <c r="CP99" s="1486"/>
      <c r="CQ99" s="1486"/>
      <c r="CR99" s="367"/>
      <c r="CS99" s="1486"/>
      <c r="CT99" s="1485"/>
      <c r="CU99" s="1485">
        <f t="shared" si="37"/>
        <v>0</v>
      </c>
      <c r="CV99" s="1486"/>
      <c r="CW99" s="1486"/>
      <c r="CX99" s="1486"/>
      <c r="CY99" s="1486"/>
      <c r="CZ99" s="1486"/>
    </row>
    <row r="100" spans="1:104" s="67" customFormat="1" ht="33">
      <c r="A100" s="453"/>
      <c r="B100" s="44" t="s">
        <v>1185</v>
      </c>
      <c r="C100" s="44"/>
      <c r="D100" s="44"/>
      <c r="E100" s="44"/>
      <c r="F100" s="1195">
        <f>'дод1.1'!E54</f>
        <v>382000</v>
      </c>
      <c r="G100" s="1194"/>
      <c r="H100" s="415">
        <f t="shared" ref="H100:H105" si="41">D100+F100+G100</f>
        <v>382000</v>
      </c>
      <c r="I100" s="49"/>
      <c r="J100" s="49"/>
      <c r="K100" s="49"/>
      <c r="L100" s="49"/>
      <c r="M100" s="49"/>
      <c r="N100" s="49"/>
      <c r="O100" s="49"/>
      <c r="P100" s="49"/>
      <c r="Q100" s="66">
        <f>SUM(R100:T100)</f>
        <v>0</v>
      </c>
      <c r="R100" s="49"/>
      <c r="S100" s="49"/>
      <c r="T100" s="66">
        <f>SUM(U100:V100)</f>
        <v>0</v>
      </c>
      <c r="U100" s="49"/>
      <c r="V100" s="49"/>
      <c r="W100" s="79"/>
      <c r="X100" s="49"/>
      <c r="Y100" s="49"/>
      <c r="Z100" s="49"/>
      <c r="AA100" s="49"/>
      <c r="AB100" s="49"/>
      <c r="AC100" s="49"/>
      <c r="AD100" s="49"/>
      <c r="AE100" s="49"/>
      <c r="AF100" s="49"/>
      <c r="AG100" s="49"/>
      <c r="AH100" s="90">
        <f>AI100+AK100+AJ100+AL100+AM100+AN100+AO100</f>
        <v>0</v>
      </c>
      <c r="AI100" s="66">
        <f t="shared" ref="AI100:AI113" si="42">SUM(AJ100:AP100)</f>
        <v>0</v>
      </c>
      <c r="AJ100" s="49"/>
      <c r="AK100" s="49"/>
      <c r="AL100" s="49"/>
      <c r="AM100" s="49"/>
      <c r="AN100" s="49"/>
      <c r="AO100" s="49"/>
      <c r="AP100" s="90">
        <f>SUM(AQ100:AU100)</f>
        <v>0</v>
      </c>
      <c r="AQ100" s="49"/>
      <c r="AR100" s="49"/>
      <c r="AS100" s="49"/>
      <c r="AT100" s="49"/>
      <c r="AU100" s="49"/>
      <c r="AV100" s="49"/>
      <c r="AW100" s="49"/>
      <c r="AX100" s="49"/>
      <c r="AY100" s="79"/>
      <c r="AZ100" s="49"/>
      <c r="BA100" s="49"/>
      <c r="BB100" s="49"/>
      <c r="BC100" s="49"/>
      <c r="BD100" s="49"/>
      <c r="BE100" s="49"/>
      <c r="BF100" s="49"/>
      <c r="BG100" s="49"/>
      <c r="BH100" s="90">
        <f>SUM(BI100:BN100)</f>
        <v>0</v>
      </c>
      <c r="BI100" s="90"/>
      <c r="BJ100" s="90"/>
      <c r="BK100" s="90"/>
      <c r="BL100" s="90"/>
      <c r="BM100" s="90"/>
      <c r="BN100" s="90"/>
      <c r="BO100" s="90"/>
      <c r="BP100" s="90"/>
      <c r="BQ100" s="66">
        <f t="shared" si="35"/>
        <v>0</v>
      </c>
      <c r="BR100" s="90"/>
      <c r="BS100" s="90"/>
      <c r="BT100" s="90"/>
      <c r="BU100" s="90"/>
      <c r="BV100" s="90"/>
      <c r="BW100" s="90"/>
      <c r="BX100" s="90">
        <f t="shared" ref="BX100:BX113" si="43">SUM(BY100:CF100)</f>
        <v>0</v>
      </c>
      <c r="BY100" s="90"/>
      <c r="BZ100" s="90"/>
      <c r="CA100" s="90"/>
      <c r="CB100" s="90"/>
      <c r="CC100" s="90"/>
      <c r="CD100" s="90"/>
      <c r="CE100" s="66"/>
      <c r="CF100" s="49"/>
      <c r="CG100" s="49"/>
      <c r="CH100" s="49"/>
      <c r="CI100" s="51">
        <f t="shared" si="36"/>
        <v>0</v>
      </c>
      <c r="CJ100" s="81"/>
      <c r="CK100" s="367"/>
      <c r="CL100" s="367"/>
      <c r="CM100" s="81"/>
      <c r="CN100" s="367"/>
      <c r="CO100" s="367"/>
      <c r="CP100" s="1486"/>
      <c r="CQ100" s="1486"/>
      <c r="CR100" s="367"/>
      <c r="CS100" s="1486"/>
      <c r="CT100" s="1485"/>
      <c r="CU100" s="1485">
        <f t="shared" si="37"/>
        <v>0</v>
      </c>
      <c r="CV100" s="1486"/>
      <c r="CW100" s="1486"/>
      <c r="CX100" s="1486"/>
      <c r="CY100" s="1486"/>
      <c r="CZ100" s="1486"/>
    </row>
    <row r="101" spans="1:104" s="67" customFormat="1" ht="33">
      <c r="A101" s="452" t="s">
        <v>2115</v>
      </c>
      <c r="B101" s="44" t="s">
        <v>1256</v>
      </c>
      <c r="C101" s="44"/>
      <c r="D101" s="44"/>
      <c r="E101" s="44"/>
      <c r="F101" s="1194"/>
      <c r="G101" s="1195">
        <f>'дод 1.2'!E1969</f>
        <v>3320</v>
      </c>
      <c r="H101" s="415">
        <f t="shared" si="41"/>
        <v>3320</v>
      </c>
      <c r="I101" s="49"/>
      <c r="J101" s="49"/>
      <c r="K101" s="49"/>
      <c r="L101" s="49"/>
      <c r="M101" s="49"/>
      <c r="N101" s="49"/>
      <c r="O101" s="49"/>
      <c r="P101" s="49"/>
      <c r="Q101" s="66">
        <f>SUM(R101:T101)</f>
        <v>0</v>
      </c>
      <c r="R101" s="49"/>
      <c r="S101" s="49"/>
      <c r="T101" s="66">
        <f>SUM(U101:V101)</f>
        <v>0</v>
      </c>
      <c r="U101" s="49"/>
      <c r="V101" s="49"/>
      <c r="W101" s="79"/>
      <c r="X101" s="49">
        <v>0</v>
      </c>
      <c r="Y101" s="49"/>
      <c r="Z101" s="49"/>
      <c r="AA101" s="49"/>
      <c r="AB101" s="49"/>
      <c r="AC101" s="49"/>
      <c r="AD101" s="49"/>
      <c r="AE101" s="49"/>
      <c r="AF101" s="49"/>
      <c r="AG101" s="49"/>
      <c r="AH101" s="90">
        <f>AI101+AK101+AJ101+AL101+AM101+AN101+AO101</f>
        <v>0</v>
      </c>
      <c r="AI101" s="66">
        <f t="shared" si="42"/>
        <v>0</v>
      </c>
      <c r="AJ101" s="49"/>
      <c r="AK101" s="49"/>
      <c r="AL101" s="49"/>
      <c r="AM101" s="49"/>
      <c r="AN101" s="49"/>
      <c r="AO101" s="49"/>
      <c r="AP101" s="90">
        <f>SUM(AQ101:AU101)</f>
        <v>0</v>
      </c>
      <c r="AQ101" s="49"/>
      <c r="AR101" s="49"/>
      <c r="AS101" s="49"/>
      <c r="AT101" s="49"/>
      <c r="AU101" s="49"/>
      <c r="AV101" s="49"/>
      <c r="AW101" s="49"/>
      <c r="AX101" s="49"/>
      <c r="AY101" s="79"/>
      <c r="AZ101" s="49"/>
      <c r="BA101" s="49"/>
      <c r="BB101" s="49"/>
      <c r="BC101" s="49"/>
      <c r="BD101" s="49"/>
      <c r="BE101" s="49"/>
      <c r="BF101" s="49"/>
      <c r="BG101" s="49"/>
      <c r="BH101" s="90">
        <f>SUM(BI101:BN101)</f>
        <v>0</v>
      </c>
      <c r="BI101" s="90"/>
      <c r="BJ101" s="90"/>
      <c r="BK101" s="90"/>
      <c r="BL101" s="90"/>
      <c r="BM101" s="90"/>
      <c r="BN101" s="90"/>
      <c r="BO101" s="90"/>
      <c r="BP101" s="90"/>
      <c r="BQ101" s="66">
        <f t="shared" si="35"/>
        <v>0</v>
      </c>
      <c r="BR101" s="90"/>
      <c r="BS101" s="90"/>
      <c r="BT101" s="90"/>
      <c r="BU101" s="90"/>
      <c r="BV101" s="90"/>
      <c r="BW101" s="90"/>
      <c r="BX101" s="90">
        <f t="shared" si="43"/>
        <v>0</v>
      </c>
      <c r="BY101" s="90"/>
      <c r="BZ101" s="90"/>
      <c r="CA101" s="90"/>
      <c r="CB101" s="90"/>
      <c r="CC101" s="90"/>
      <c r="CD101" s="90"/>
      <c r="CE101" s="66"/>
      <c r="CF101" s="49"/>
      <c r="CG101" s="49"/>
      <c r="CH101" s="49"/>
      <c r="CI101" s="51">
        <f t="shared" si="36"/>
        <v>0</v>
      </c>
      <c r="CJ101" s="81"/>
      <c r="CK101" s="367"/>
      <c r="CL101" s="367"/>
      <c r="CM101" s="81"/>
      <c r="CN101" s="367"/>
      <c r="CO101" s="367"/>
      <c r="CP101" s="1486"/>
      <c r="CQ101" s="1486"/>
      <c r="CR101" s="367"/>
      <c r="CS101" s="1486"/>
      <c r="CT101" s="1485"/>
      <c r="CU101" s="1485">
        <f t="shared" si="37"/>
        <v>0</v>
      </c>
      <c r="CV101" s="1486"/>
      <c r="CW101" s="1486"/>
      <c r="CX101" s="1486"/>
      <c r="CY101" s="1486"/>
      <c r="CZ101" s="1486"/>
    </row>
    <row r="102" spans="1:104" s="67" customFormat="1" ht="33">
      <c r="A102" s="452" t="s">
        <v>1981</v>
      </c>
      <c r="B102" s="44" t="s">
        <v>2016</v>
      </c>
      <c r="C102" s="44"/>
      <c r="D102" s="44"/>
      <c r="E102" s="44"/>
      <c r="F102" s="1194"/>
      <c r="G102" s="1194"/>
      <c r="H102" s="415">
        <f t="shared" si="41"/>
        <v>0</v>
      </c>
      <c r="I102" s="49"/>
      <c r="J102" s="49"/>
      <c r="K102" s="49"/>
      <c r="L102" s="49"/>
      <c r="M102" s="49"/>
      <c r="N102" s="49"/>
      <c r="O102" s="49"/>
      <c r="P102" s="49"/>
      <c r="Q102" s="66">
        <f t="shared" ref="Q102:Q113" si="44">SUM(R102:V102)</f>
        <v>0</v>
      </c>
      <c r="R102" s="49"/>
      <c r="S102" s="49"/>
      <c r="T102" s="49"/>
      <c r="U102" s="49"/>
      <c r="V102" s="49"/>
      <c r="W102" s="79"/>
      <c r="X102" s="49"/>
      <c r="Y102" s="49"/>
      <c r="Z102" s="49"/>
      <c r="AA102" s="49"/>
      <c r="AB102" s="49"/>
      <c r="AC102" s="49"/>
      <c r="AD102" s="90">
        <f>SUM(AE102:AG102)</f>
        <v>0</v>
      </c>
      <c r="AE102" s="49"/>
      <c r="AF102" s="49"/>
      <c r="AG102" s="49"/>
      <c r="AH102" s="90">
        <f>AI102+AK102+AJ102+AL102+AM102+AN102+AO102</f>
        <v>0</v>
      </c>
      <c r="AI102" s="66">
        <f t="shared" si="42"/>
        <v>0</v>
      </c>
      <c r="AJ102" s="49"/>
      <c r="AK102" s="49"/>
      <c r="AL102" s="49"/>
      <c r="AM102" s="49"/>
      <c r="AN102" s="49"/>
      <c r="AO102" s="49"/>
      <c r="AP102" s="90">
        <f>SUM(AQ102:AU102)</f>
        <v>0</v>
      </c>
      <c r="AQ102" s="49"/>
      <c r="AR102" s="49"/>
      <c r="AS102" s="49"/>
      <c r="AT102" s="49"/>
      <c r="AU102" s="49"/>
      <c r="AV102" s="49"/>
      <c r="AW102" s="49"/>
      <c r="AX102" s="49"/>
      <c r="AY102" s="79"/>
      <c r="AZ102" s="49"/>
      <c r="BA102" s="49"/>
      <c r="BB102" s="49"/>
      <c r="BC102" s="49"/>
      <c r="BD102" s="49"/>
      <c r="BE102" s="49"/>
      <c r="BF102" s="49"/>
      <c r="BG102" s="49"/>
      <c r="BH102" s="90">
        <f>SUM(BI102:BN102)</f>
        <v>0</v>
      </c>
      <c r="BI102" s="90"/>
      <c r="BJ102" s="90"/>
      <c r="BK102" s="90"/>
      <c r="BL102" s="90"/>
      <c r="BM102" s="90"/>
      <c r="BN102" s="90"/>
      <c r="BO102" s="90"/>
      <c r="BP102" s="90"/>
      <c r="BQ102" s="66">
        <f t="shared" si="35"/>
        <v>0</v>
      </c>
      <c r="BR102" s="90"/>
      <c r="BS102" s="90"/>
      <c r="BT102" s="90"/>
      <c r="BU102" s="90"/>
      <c r="BV102" s="90"/>
      <c r="BW102" s="90"/>
      <c r="BX102" s="90">
        <f>SUM(BY102:CF102)</f>
        <v>70307</v>
      </c>
      <c r="BY102" s="90"/>
      <c r="BZ102" s="90"/>
      <c r="CA102" s="90"/>
      <c r="CB102" s="90">
        <v>70307</v>
      </c>
      <c r="CC102" s="90"/>
      <c r="CD102" s="90"/>
      <c r="CE102" s="66"/>
      <c r="CF102" s="49"/>
      <c r="CG102" s="49"/>
      <c r="CH102" s="49"/>
      <c r="CI102" s="51">
        <f t="shared" si="36"/>
        <v>70307</v>
      </c>
      <c r="CJ102" s="81"/>
      <c r="CK102" s="367"/>
      <c r="CL102" s="367"/>
      <c r="CM102" s="81"/>
      <c r="CN102" s="367"/>
      <c r="CO102" s="367"/>
      <c r="CP102" s="1486"/>
      <c r="CQ102" s="1486"/>
      <c r="CR102" s="367"/>
      <c r="CS102" s="1486"/>
      <c r="CT102" s="1485"/>
      <c r="CU102" s="1485">
        <f t="shared" si="37"/>
        <v>0</v>
      </c>
      <c r="CV102" s="1486"/>
      <c r="CW102" s="1486"/>
      <c r="CX102" s="1486"/>
      <c r="CY102" s="1486"/>
      <c r="CZ102" s="1486"/>
    </row>
    <row r="103" spans="1:104" s="67" customFormat="1" ht="33">
      <c r="A103" s="452" t="s">
        <v>1982</v>
      </c>
      <c r="B103" s="44" t="s">
        <v>2017</v>
      </c>
      <c r="C103" s="44"/>
      <c r="D103" s="44"/>
      <c r="E103" s="44"/>
      <c r="F103" s="1194"/>
      <c r="G103" s="1194"/>
      <c r="H103" s="415">
        <f t="shared" si="41"/>
        <v>0</v>
      </c>
      <c r="I103" s="49"/>
      <c r="J103" s="49"/>
      <c r="K103" s="49"/>
      <c r="L103" s="49"/>
      <c r="M103" s="49"/>
      <c r="N103" s="49"/>
      <c r="O103" s="49"/>
      <c r="P103" s="49"/>
      <c r="Q103" s="66">
        <f t="shared" si="44"/>
        <v>0</v>
      </c>
      <c r="R103" s="49"/>
      <c r="S103" s="49"/>
      <c r="T103" s="49"/>
      <c r="U103" s="49"/>
      <c r="V103" s="49"/>
      <c r="W103" s="79"/>
      <c r="X103" s="49"/>
      <c r="Y103" s="49"/>
      <c r="Z103" s="49"/>
      <c r="AA103" s="49"/>
      <c r="AB103" s="49"/>
      <c r="AC103" s="49"/>
      <c r="AD103" s="90">
        <f>SUM(AE103:AG103)</f>
        <v>0</v>
      </c>
      <c r="AE103" s="49"/>
      <c r="AF103" s="49"/>
      <c r="AG103" s="49"/>
      <c r="AH103" s="90">
        <f>AI103+AK103+AJ103+AL103+AM103+AN103+AO103</f>
        <v>0</v>
      </c>
      <c r="AI103" s="66">
        <f t="shared" si="42"/>
        <v>0</v>
      </c>
      <c r="AJ103" s="49"/>
      <c r="AK103" s="49"/>
      <c r="AL103" s="49"/>
      <c r="AM103" s="49"/>
      <c r="AN103" s="49"/>
      <c r="AO103" s="49"/>
      <c r="AP103" s="90">
        <f>SUM(AQ103:AU103)</f>
        <v>0</v>
      </c>
      <c r="AQ103" s="49"/>
      <c r="AR103" s="49"/>
      <c r="AS103" s="49"/>
      <c r="AT103" s="49"/>
      <c r="AU103" s="49"/>
      <c r="AV103" s="49"/>
      <c r="AW103" s="49"/>
      <c r="AX103" s="49"/>
      <c r="AY103" s="79"/>
      <c r="AZ103" s="49"/>
      <c r="BA103" s="49"/>
      <c r="BB103" s="49"/>
      <c r="BC103" s="49"/>
      <c r="BD103" s="49"/>
      <c r="BE103" s="49"/>
      <c r="BF103" s="49"/>
      <c r="BG103" s="49"/>
      <c r="BH103" s="90">
        <f>SUM(BI103:BN103)</f>
        <v>0</v>
      </c>
      <c r="BI103" s="90"/>
      <c r="BJ103" s="90"/>
      <c r="BK103" s="90"/>
      <c r="BL103" s="90"/>
      <c r="BM103" s="90"/>
      <c r="BN103" s="90"/>
      <c r="BO103" s="90"/>
      <c r="BP103" s="90"/>
      <c r="BQ103" s="90"/>
      <c r="BR103" s="90"/>
      <c r="BS103" s="90"/>
      <c r="BT103" s="90"/>
      <c r="BU103" s="90"/>
      <c r="BV103" s="90"/>
      <c r="BW103" s="90"/>
      <c r="BX103" s="90">
        <f>SUM(BY103:CF103)</f>
        <v>42680</v>
      </c>
      <c r="BY103" s="90"/>
      <c r="BZ103" s="90"/>
      <c r="CA103" s="90"/>
      <c r="CB103" s="90">
        <v>42680</v>
      </c>
      <c r="CC103" s="90"/>
      <c r="CD103" s="90"/>
      <c r="CE103" s="66"/>
      <c r="CF103" s="49"/>
      <c r="CG103" s="49"/>
      <c r="CH103" s="49"/>
      <c r="CI103" s="51">
        <f t="shared" si="36"/>
        <v>42680</v>
      </c>
      <c r="CJ103" s="81"/>
      <c r="CK103" s="367"/>
      <c r="CL103" s="367"/>
      <c r="CM103" s="81"/>
      <c r="CN103" s="367"/>
      <c r="CO103" s="367"/>
      <c r="CP103" s="1486"/>
      <c r="CQ103" s="1486"/>
      <c r="CR103" s="367"/>
      <c r="CS103" s="1486"/>
      <c r="CT103" s="1485"/>
      <c r="CU103" s="1485">
        <f t="shared" si="37"/>
        <v>0</v>
      </c>
      <c r="CV103" s="1486"/>
      <c r="CW103" s="1486"/>
      <c r="CX103" s="1486"/>
      <c r="CY103" s="1486"/>
      <c r="CZ103" s="1486"/>
    </row>
    <row r="104" spans="1:104" s="67" customFormat="1" ht="33">
      <c r="A104" s="452" t="s">
        <v>2116</v>
      </c>
      <c r="B104" s="44" t="s">
        <v>2040</v>
      </c>
      <c r="C104" s="44"/>
      <c r="D104" s="44"/>
      <c r="E104" s="44"/>
      <c r="F104" s="1195">
        <f>'дод1.1'!C140</f>
        <v>199431</v>
      </c>
      <c r="G104" s="1194"/>
      <c r="H104" s="415">
        <f t="shared" si="41"/>
        <v>199431</v>
      </c>
      <c r="I104" s="49"/>
      <c r="J104" s="49"/>
      <c r="K104" s="49"/>
      <c r="L104" s="49"/>
      <c r="M104" s="49"/>
      <c r="N104" s="49"/>
      <c r="O104" s="49"/>
      <c r="P104" s="49"/>
      <c r="Q104" s="66">
        <f t="shared" si="44"/>
        <v>0</v>
      </c>
      <c r="R104" s="49"/>
      <c r="S104" s="49"/>
      <c r="T104" s="49"/>
      <c r="U104" s="49"/>
      <c r="V104" s="49"/>
      <c r="W104" s="79"/>
      <c r="X104" s="49"/>
      <c r="Y104" s="49"/>
      <c r="Z104" s="49"/>
      <c r="AA104" s="49"/>
      <c r="AB104" s="49"/>
      <c r="AC104" s="49"/>
      <c r="AD104" s="49"/>
      <c r="AE104" s="49"/>
      <c r="AF104" s="49"/>
      <c r="AG104" s="49"/>
      <c r="AH104" s="66">
        <f t="shared" ref="AH104:AH113" si="45">SUM(AI104:AO104)</f>
        <v>0</v>
      </c>
      <c r="AI104" s="66">
        <f t="shared" si="42"/>
        <v>0</v>
      </c>
      <c r="AJ104" s="49"/>
      <c r="AK104" s="49"/>
      <c r="AL104" s="49"/>
      <c r="AM104" s="49"/>
      <c r="AN104" s="49"/>
      <c r="AO104" s="49"/>
      <c r="AP104" s="49"/>
      <c r="AQ104" s="49"/>
      <c r="AR104" s="49"/>
      <c r="AS104" s="49"/>
      <c r="AT104" s="49"/>
      <c r="AU104" s="49"/>
      <c r="AV104" s="49"/>
      <c r="AW104" s="49"/>
      <c r="AX104" s="49"/>
      <c r="AY104" s="79"/>
      <c r="AZ104" s="49"/>
      <c r="BA104" s="49"/>
      <c r="BB104" s="49"/>
      <c r="BC104" s="49"/>
      <c r="BD104" s="49"/>
      <c r="BE104" s="49"/>
      <c r="BF104" s="49"/>
      <c r="BG104" s="49"/>
      <c r="BH104" s="90">
        <f t="shared" ref="BH104:BH113" si="46">SUM(BI104:BN104)</f>
        <v>0</v>
      </c>
      <c r="BI104" s="90"/>
      <c r="BJ104" s="90"/>
      <c r="BK104" s="90"/>
      <c r="BL104" s="90"/>
      <c r="BM104" s="90"/>
      <c r="BN104" s="90"/>
      <c r="BO104" s="90"/>
      <c r="BP104" s="90"/>
      <c r="BQ104" s="90"/>
      <c r="BR104" s="90"/>
      <c r="BS104" s="90"/>
      <c r="BT104" s="90"/>
      <c r="BU104" s="90"/>
      <c r="BV104" s="90"/>
      <c r="BW104" s="90"/>
      <c r="BX104" s="90">
        <f t="shared" si="43"/>
        <v>0</v>
      </c>
      <c r="BY104" s="90"/>
      <c r="BZ104" s="90"/>
      <c r="CA104" s="90"/>
      <c r="CB104" s="90"/>
      <c r="CC104" s="90"/>
      <c r="CD104" s="90"/>
      <c r="CE104" s="66"/>
      <c r="CF104" s="49"/>
      <c r="CG104" s="49"/>
      <c r="CH104" s="49"/>
      <c r="CI104" s="51">
        <f t="shared" si="36"/>
        <v>0</v>
      </c>
      <c r="CJ104" s="81"/>
      <c r="CK104" s="367"/>
      <c r="CL104" s="367"/>
      <c r="CM104" s="81"/>
      <c r="CN104" s="367"/>
      <c r="CO104" s="367"/>
      <c r="CP104" s="1486"/>
      <c r="CQ104" s="1486"/>
      <c r="CR104" s="367"/>
      <c r="CS104" s="1486"/>
      <c r="CT104" s="1485"/>
      <c r="CU104" s="1485">
        <f t="shared" si="37"/>
        <v>0</v>
      </c>
      <c r="CV104" s="1486"/>
      <c r="CW104" s="1486"/>
      <c r="CX104" s="1486"/>
      <c r="CY104" s="1486"/>
      <c r="CZ104" s="1486"/>
    </row>
    <row r="105" spans="1:104" s="67" customFormat="1" ht="33">
      <c r="A105" s="452" t="s">
        <v>2117</v>
      </c>
      <c r="B105" s="44" t="s">
        <v>2051</v>
      </c>
      <c r="C105" s="44"/>
      <c r="D105" s="44"/>
      <c r="E105" s="44"/>
      <c r="F105" s="1195">
        <f>'дод1.1'!C142</f>
        <v>11000</v>
      </c>
      <c r="G105" s="1194"/>
      <c r="H105" s="415">
        <f t="shared" si="41"/>
        <v>11000</v>
      </c>
      <c r="I105" s="49"/>
      <c r="J105" s="49"/>
      <c r="K105" s="49"/>
      <c r="L105" s="49"/>
      <c r="M105" s="49"/>
      <c r="N105" s="49"/>
      <c r="O105" s="49"/>
      <c r="P105" s="49"/>
      <c r="Q105" s="66">
        <f t="shared" si="44"/>
        <v>0</v>
      </c>
      <c r="R105" s="49"/>
      <c r="S105" s="49"/>
      <c r="T105" s="49"/>
      <c r="U105" s="49"/>
      <c r="V105" s="49"/>
      <c r="W105" s="79"/>
      <c r="X105" s="49"/>
      <c r="Y105" s="49"/>
      <c r="Z105" s="49"/>
      <c r="AA105" s="49"/>
      <c r="AB105" s="49"/>
      <c r="AC105" s="49"/>
      <c r="AD105" s="49"/>
      <c r="AE105" s="49"/>
      <c r="AF105" s="49"/>
      <c r="AG105" s="49"/>
      <c r="AH105" s="66">
        <f t="shared" si="45"/>
        <v>0</v>
      </c>
      <c r="AI105" s="66">
        <f t="shared" si="42"/>
        <v>0</v>
      </c>
      <c r="AJ105" s="49"/>
      <c r="AK105" s="49"/>
      <c r="AL105" s="49"/>
      <c r="AM105" s="49"/>
      <c r="AN105" s="49"/>
      <c r="AO105" s="49"/>
      <c r="AP105" s="49"/>
      <c r="AQ105" s="49"/>
      <c r="AR105" s="49"/>
      <c r="AS105" s="49"/>
      <c r="AT105" s="49"/>
      <c r="AU105" s="49"/>
      <c r="AV105" s="49"/>
      <c r="AW105" s="49"/>
      <c r="AX105" s="49"/>
      <c r="AY105" s="79"/>
      <c r="AZ105" s="49"/>
      <c r="BA105" s="49"/>
      <c r="BB105" s="49"/>
      <c r="BC105" s="49"/>
      <c r="BD105" s="49"/>
      <c r="BE105" s="49"/>
      <c r="BF105" s="49"/>
      <c r="BG105" s="49"/>
      <c r="BH105" s="90">
        <f t="shared" si="46"/>
        <v>0</v>
      </c>
      <c r="BI105" s="90"/>
      <c r="BJ105" s="90"/>
      <c r="BK105" s="90"/>
      <c r="BL105" s="90"/>
      <c r="BM105" s="90"/>
      <c r="BN105" s="90"/>
      <c r="BO105" s="90"/>
      <c r="BP105" s="90"/>
      <c r="BQ105" s="90"/>
      <c r="BR105" s="90"/>
      <c r="BS105" s="90"/>
      <c r="BT105" s="90"/>
      <c r="BU105" s="90"/>
      <c r="BV105" s="90"/>
      <c r="BW105" s="90"/>
      <c r="BX105" s="90">
        <f t="shared" si="43"/>
        <v>0</v>
      </c>
      <c r="BY105" s="90"/>
      <c r="BZ105" s="90"/>
      <c r="CA105" s="90"/>
      <c r="CB105" s="90"/>
      <c r="CC105" s="90"/>
      <c r="CD105" s="90"/>
      <c r="CE105" s="66"/>
      <c r="CF105" s="49"/>
      <c r="CG105" s="49"/>
      <c r="CH105" s="49"/>
      <c r="CI105" s="51">
        <f t="shared" si="36"/>
        <v>0</v>
      </c>
      <c r="CJ105" s="81"/>
      <c r="CK105" s="367"/>
      <c r="CL105" s="367"/>
      <c r="CM105" s="81"/>
      <c r="CN105" s="367"/>
      <c r="CO105" s="367"/>
      <c r="CP105" s="1486"/>
      <c r="CQ105" s="1486"/>
      <c r="CR105" s="367"/>
      <c r="CS105" s="1486"/>
      <c r="CT105" s="1485"/>
      <c r="CU105" s="1485">
        <f t="shared" si="37"/>
        <v>0</v>
      </c>
      <c r="CV105" s="1486"/>
      <c r="CW105" s="1486"/>
      <c r="CX105" s="1486"/>
      <c r="CY105" s="1486"/>
      <c r="CZ105" s="1486"/>
    </row>
    <row r="106" spans="1:104" s="67" customFormat="1" ht="33">
      <c r="A106" s="452" t="s">
        <v>2118</v>
      </c>
      <c r="B106" s="44" t="s">
        <v>2108</v>
      </c>
      <c r="C106" s="44"/>
      <c r="D106" s="44"/>
      <c r="E106" s="44"/>
      <c r="F106" s="1194"/>
      <c r="G106" s="1194"/>
      <c r="H106" s="1194"/>
      <c r="I106" s="49"/>
      <c r="J106" s="49"/>
      <c r="K106" s="49"/>
      <c r="L106" s="49"/>
      <c r="M106" s="49"/>
      <c r="N106" s="49"/>
      <c r="O106" s="49"/>
      <c r="P106" s="49"/>
      <c r="Q106" s="66">
        <f t="shared" si="44"/>
        <v>0</v>
      </c>
      <c r="R106" s="49"/>
      <c r="S106" s="49"/>
      <c r="T106" s="49"/>
      <c r="U106" s="49"/>
      <c r="V106" s="49"/>
      <c r="W106" s="79"/>
      <c r="X106" s="49"/>
      <c r="Y106" s="49"/>
      <c r="Z106" s="49"/>
      <c r="AA106" s="49"/>
      <c r="AB106" s="49"/>
      <c r="AC106" s="49"/>
      <c r="AD106" s="49"/>
      <c r="AE106" s="49"/>
      <c r="AF106" s="49"/>
      <c r="AG106" s="49"/>
      <c r="AH106" s="66">
        <f t="shared" si="45"/>
        <v>0</v>
      </c>
      <c r="AI106" s="66">
        <f t="shared" si="42"/>
        <v>0</v>
      </c>
      <c r="AJ106" s="49"/>
      <c r="AK106" s="49"/>
      <c r="AL106" s="49"/>
      <c r="AM106" s="49"/>
      <c r="AN106" s="49"/>
      <c r="AO106" s="49"/>
      <c r="AP106" s="49"/>
      <c r="AQ106" s="49"/>
      <c r="AR106" s="49"/>
      <c r="AS106" s="49"/>
      <c r="AT106" s="49"/>
      <c r="AU106" s="49"/>
      <c r="AV106" s="49"/>
      <c r="AW106" s="49"/>
      <c r="AX106" s="49"/>
      <c r="AY106" s="79"/>
      <c r="AZ106" s="49"/>
      <c r="BA106" s="49"/>
      <c r="BB106" s="49"/>
      <c r="BC106" s="49"/>
      <c r="BD106" s="49"/>
      <c r="BE106" s="49"/>
      <c r="BF106" s="49"/>
      <c r="BG106" s="49"/>
      <c r="BH106" s="90">
        <f t="shared" si="46"/>
        <v>0</v>
      </c>
      <c r="BI106" s="90"/>
      <c r="BJ106" s="90"/>
      <c r="BK106" s="90"/>
      <c r="BL106" s="90"/>
      <c r="BM106" s="90"/>
      <c r="BN106" s="90"/>
      <c r="BO106" s="90"/>
      <c r="BP106" s="90"/>
      <c r="BQ106" s="90"/>
      <c r="BR106" s="90"/>
      <c r="BS106" s="90"/>
      <c r="BT106" s="90"/>
      <c r="BU106" s="90"/>
      <c r="BV106" s="90"/>
      <c r="BW106" s="90"/>
      <c r="BX106" s="90">
        <f t="shared" si="43"/>
        <v>83764</v>
      </c>
      <c r="BY106" s="91"/>
      <c r="BZ106" s="91"/>
      <c r="CA106" s="91"/>
      <c r="CB106" s="90">
        <v>83764</v>
      </c>
      <c r="CC106" s="90"/>
      <c r="CD106" s="90"/>
      <c r="CE106" s="66"/>
      <c r="CF106" s="49"/>
      <c r="CG106" s="49"/>
      <c r="CH106" s="49"/>
      <c r="CI106" s="51">
        <f t="shared" si="36"/>
        <v>83764</v>
      </c>
      <c r="CJ106" s="81"/>
      <c r="CK106" s="367"/>
      <c r="CL106" s="367"/>
      <c r="CM106" s="81"/>
      <c r="CN106" s="367"/>
      <c r="CO106" s="367"/>
      <c r="CP106" s="1486"/>
      <c r="CQ106" s="1486"/>
      <c r="CR106" s="367"/>
      <c r="CS106" s="1486"/>
      <c r="CT106" s="1485"/>
      <c r="CU106" s="1485">
        <f t="shared" si="37"/>
        <v>0</v>
      </c>
      <c r="CV106" s="1486"/>
      <c r="CW106" s="1486"/>
      <c r="CX106" s="1486"/>
      <c r="CY106" s="1486"/>
      <c r="CZ106" s="1486"/>
    </row>
    <row r="107" spans="1:104" s="67" customFormat="1" ht="33">
      <c r="A107" s="452" t="s">
        <v>2119</v>
      </c>
      <c r="B107" s="44" t="s">
        <v>2109</v>
      </c>
      <c r="C107" s="44"/>
      <c r="D107" s="44"/>
      <c r="E107" s="44"/>
      <c r="F107" s="1194"/>
      <c r="G107" s="1194"/>
      <c r="H107" s="1194"/>
      <c r="I107" s="49"/>
      <c r="J107" s="49"/>
      <c r="K107" s="49"/>
      <c r="L107" s="49"/>
      <c r="M107" s="49"/>
      <c r="N107" s="49"/>
      <c r="O107" s="49"/>
      <c r="P107" s="49"/>
      <c r="Q107" s="66">
        <f t="shared" si="44"/>
        <v>0</v>
      </c>
      <c r="R107" s="49"/>
      <c r="S107" s="49"/>
      <c r="T107" s="49"/>
      <c r="U107" s="49"/>
      <c r="V107" s="49"/>
      <c r="W107" s="79"/>
      <c r="X107" s="49"/>
      <c r="Y107" s="49"/>
      <c r="Z107" s="49"/>
      <c r="AA107" s="49"/>
      <c r="AB107" s="49"/>
      <c r="AC107" s="49"/>
      <c r="AD107" s="49"/>
      <c r="AE107" s="49"/>
      <c r="AF107" s="49"/>
      <c r="AG107" s="49"/>
      <c r="AH107" s="66">
        <f t="shared" si="45"/>
        <v>0</v>
      </c>
      <c r="AI107" s="66">
        <f t="shared" si="42"/>
        <v>0</v>
      </c>
      <c r="AJ107" s="49"/>
      <c r="AK107" s="49"/>
      <c r="AL107" s="49"/>
      <c r="AM107" s="49"/>
      <c r="AN107" s="49"/>
      <c r="AO107" s="49"/>
      <c r="AP107" s="49"/>
      <c r="AQ107" s="49"/>
      <c r="AR107" s="49"/>
      <c r="AS107" s="49"/>
      <c r="AT107" s="49"/>
      <c r="AU107" s="49"/>
      <c r="AV107" s="49"/>
      <c r="AW107" s="49"/>
      <c r="AX107" s="49"/>
      <c r="AY107" s="79"/>
      <c r="AZ107" s="49"/>
      <c r="BA107" s="49"/>
      <c r="BB107" s="49"/>
      <c r="BC107" s="49"/>
      <c r="BD107" s="49"/>
      <c r="BE107" s="49"/>
      <c r="BF107" s="49"/>
      <c r="BG107" s="49"/>
      <c r="BH107" s="90">
        <f t="shared" si="46"/>
        <v>0</v>
      </c>
      <c r="BI107" s="90"/>
      <c r="BJ107" s="90"/>
      <c r="BK107" s="90"/>
      <c r="BL107" s="90"/>
      <c r="BM107" s="90"/>
      <c r="BN107" s="90"/>
      <c r="BO107" s="90"/>
      <c r="BP107" s="90"/>
      <c r="BQ107" s="90"/>
      <c r="BR107" s="90"/>
      <c r="BS107" s="90"/>
      <c r="BT107" s="90"/>
      <c r="BU107" s="90"/>
      <c r="BV107" s="90"/>
      <c r="BW107" s="90"/>
      <c r="BX107" s="90">
        <f t="shared" si="43"/>
        <v>38974</v>
      </c>
      <c r="BY107" s="91"/>
      <c r="BZ107" s="91"/>
      <c r="CA107" s="91"/>
      <c r="CB107" s="90">
        <v>38974</v>
      </c>
      <c r="CC107" s="90"/>
      <c r="CD107" s="90"/>
      <c r="CE107" s="66"/>
      <c r="CF107" s="49"/>
      <c r="CG107" s="49"/>
      <c r="CH107" s="49"/>
      <c r="CI107" s="51">
        <f t="shared" si="36"/>
        <v>38974</v>
      </c>
      <c r="CJ107" s="81"/>
      <c r="CK107" s="367"/>
      <c r="CL107" s="367"/>
      <c r="CM107" s="81"/>
      <c r="CN107" s="367"/>
      <c r="CO107" s="367"/>
      <c r="CP107" s="1486"/>
      <c r="CQ107" s="1486"/>
      <c r="CR107" s="367"/>
      <c r="CS107" s="1486"/>
      <c r="CT107" s="1485"/>
      <c r="CU107" s="1485">
        <f t="shared" si="37"/>
        <v>0</v>
      </c>
      <c r="CV107" s="1486"/>
      <c r="CW107" s="1486"/>
      <c r="CX107" s="1486"/>
      <c r="CY107" s="1486"/>
      <c r="CZ107" s="1486"/>
    </row>
    <row r="108" spans="1:104" s="67" customFormat="1" ht="33">
      <c r="A108" s="452" t="s">
        <v>2120</v>
      </c>
      <c r="B108" s="44" t="s">
        <v>2110</v>
      </c>
      <c r="C108" s="44"/>
      <c r="D108" s="44"/>
      <c r="E108" s="44"/>
      <c r="F108" s="1194"/>
      <c r="G108" s="1194"/>
      <c r="H108" s="1194"/>
      <c r="I108" s="49"/>
      <c r="J108" s="49"/>
      <c r="K108" s="49"/>
      <c r="L108" s="49"/>
      <c r="M108" s="49"/>
      <c r="N108" s="49"/>
      <c r="O108" s="49"/>
      <c r="P108" s="49"/>
      <c r="Q108" s="66">
        <f t="shared" si="44"/>
        <v>0</v>
      </c>
      <c r="R108" s="49"/>
      <c r="S108" s="49"/>
      <c r="T108" s="49"/>
      <c r="U108" s="49"/>
      <c r="V108" s="49"/>
      <c r="W108" s="79"/>
      <c r="X108" s="49"/>
      <c r="Y108" s="49"/>
      <c r="Z108" s="49"/>
      <c r="AA108" s="49"/>
      <c r="AB108" s="49"/>
      <c r="AC108" s="49"/>
      <c r="AD108" s="49"/>
      <c r="AE108" s="49"/>
      <c r="AF108" s="49"/>
      <c r="AG108" s="49"/>
      <c r="AH108" s="66">
        <f t="shared" si="45"/>
        <v>0</v>
      </c>
      <c r="AI108" s="66">
        <f t="shared" si="42"/>
        <v>0</v>
      </c>
      <c r="AJ108" s="49"/>
      <c r="AK108" s="49"/>
      <c r="AL108" s="49"/>
      <c r="AM108" s="49"/>
      <c r="AN108" s="49"/>
      <c r="AO108" s="49"/>
      <c r="AP108" s="49"/>
      <c r="AQ108" s="49"/>
      <c r="AR108" s="49"/>
      <c r="AS108" s="49"/>
      <c r="AT108" s="49"/>
      <c r="AU108" s="49"/>
      <c r="AV108" s="49"/>
      <c r="AW108" s="49"/>
      <c r="AX108" s="49"/>
      <c r="AY108" s="79"/>
      <c r="AZ108" s="49"/>
      <c r="BA108" s="49"/>
      <c r="BB108" s="49"/>
      <c r="BC108" s="49"/>
      <c r="BD108" s="49"/>
      <c r="BE108" s="49"/>
      <c r="BF108" s="49"/>
      <c r="BG108" s="49"/>
      <c r="BH108" s="90">
        <f t="shared" si="46"/>
        <v>0</v>
      </c>
      <c r="BI108" s="90"/>
      <c r="BJ108" s="90"/>
      <c r="BK108" s="90"/>
      <c r="BL108" s="90"/>
      <c r="BM108" s="90"/>
      <c r="BN108" s="90"/>
      <c r="BO108" s="90"/>
      <c r="BP108" s="90"/>
      <c r="BQ108" s="90"/>
      <c r="BR108" s="90"/>
      <c r="BS108" s="90"/>
      <c r="BT108" s="90"/>
      <c r="BU108" s="90"/>
      <c r="BV108" s="90"/>
      <c r="BW108" s="90"/>
      <c r="BX108" s="90">
        <f t="shared" si="43"/>
        <v>72249</v>
      </c>
      <c r="BY108" s="91"/>
      <c r="BZ108" s="91"/>
      <c r="CA108" s="91"/>
      <c r="CB108" s="90">
        <v>72249</v>
      </c>
      <c r="CC108" s="90"/>
      <c r="CD108" s="90"/>
      <c r="CE108" s="66"/>
      <c r="CF108" s="49"/>
      <c r="CG108" s="49"/>
      <c r="CH108" s="49"/>
      <c r="CI108" s="51">
        <f t="shared" si="36"/>
        <v>72249</v>
      </c>
      <c r="CJ108" s="81"/>
      <c r="CK108" s="367"/>
      <c r="CL108" s="367"/>
      <c r="CM108" s="81"/>
      <c r="CN108" s="367"/>
      <c r="CO108" s="367"/>
      <c r="CP108" s="1486"/>
      <c r="CQ108" s="1486"/>
      <c r="CR108" s="367"/>
      <c r="CS108" s="1486"/>
      <c r="CT108" s="1485"/>
      <c r="CU108" s="1485">
        <f t="shared" si="37"/>
        <v>0</v>
      </c>
      <c r="CV108" s="1486"/>
      <c r="CW108" s="1486"/>
      <c r="CX108" s="1486"/>
      <c r="CY108" s="1486"/>
      <c r="CZ108" s="1486"/>
    </row>
    <row r="109" spans="1:104" s="67" customFormat="1" ht="33">
      <c r="A109" s="452" t="s">
        <v>2121</v>
      </c>
      <c r="B109" s="44" t="s">
        <v>2111</v>
      </c>
      <c r="C109" s="44"/>
      <c r="D109" s="44"/>
      <c r="E109" s="44"/>
      <c r="F109" s="1194"/>
      <c r="G109" s="1194"/>
      <c r="H109" s="1194"/>
      <c r="I109" s="49"/>
      <c r="J109" s="49"/>
      <c r="K109" s="49"/>
      <c r="L109" s="49"/>
      <c r="M109" s="49"/>
      <c r="N109" s="49"/>
      <c r="O109" s="49"/>
      <c r="P109" s="49"/>
      <c r="Q109" s="66">
        <f>SUM(R109:V109)</f>
        <v>0</v>
      </c>
      <c r="R109" s="49"/>
      <c r="S109" s="49"/>
      <c r="T109" s="49"/>
      <c r="U109" s="49"/>
      <c r="V109" s="49"/>
      <c r="W109" s="79"/>
      <c r="X109" s="49"/>
      <c r="Y109" s="49"/>
      <c r="Z109" s="49"/>
      <c r="AA109" s="49"/>
      <c r="AB109" s="49"/>
      <c r="AC109" s="49"/>
      <c r="AD109" s="49"/>
      <c r="AE109" s="49"/>
      <c r="AF109" s="49"/>
      <c r="AG109" s="49"/>
      <c r="AH109" s="66">
        <f>SUM(AI109:AO109)</f>
        <v>0</v>
      </c>
      <c r="AI109" s="66">
        <f>SUM(AJ109:AP109)</f>
        <v>0</v>
      </c>
      <c r="AJ109" s="49"/>
      <c r="AK109" s="49"/>
      <c r="AL109" s="49"/>
      <c r="AM109" s="49"/>
      <c r="AN109" s="49"/>
      <c r="AO109" s="49"/>
      <c r="AP109" s="49"/>
      <c r="AQ109" s="49"/>
      <c r="AR109" s="49"/>
      <c r="AS109" s="49"/>
      <c r="AT109" s="49"/>
      <c r="AU109" s="49"/>
      <c r="AV109" s="49"/>
      <c r="AW109" s="49"/>
      <c r="AX109" s="49"/>
      <c r="AY109" s="79"/>
      <c r="AZ109" s="49"/>
      <c r="BA109" s="49"/>
      <c r="BB109" s="49"/>
      <c r="BC109" s="49"/>
      <c r="BD109" s="49"/>
      <c r="BE109" s="49"/>
      <c r="BF109" s="49"/>
      <c r="BG109" s="49"/>
      <c r="BH109" s="90">
        <f>SUM(BI109:BN109)</f>
        <v>0</v>
      </c>
      <c r="BI109" s="90"/>
      <c r="BJ109" s="90"/>
      <c r="BK109" s="90"/>
      <c r="BL109" s="90"/>
      <c r="BM109" s="90"/>
      <c r="BN109" s="90"/>
      <c r="BO109" s="90"/>
      <c r="BP109" s="90"/>
      <c r="BQ109" s="90"/>
      <c r="BR109" s="90"/>
      <c r="BS109" s="90"/>
      <c r="BT109" s="90"/>
      <c r="BU109" s="90"/>
      <c r="BV109" s="90"/>
      <c r="BW109" s="90"/>
      <c r="BX109" s="90">
        <f>SUM(BY109:CF109)</f>
        <v>31329</v>
      </c>
      <c r="BY109" s="91"/>
      <c r="BZ109" s="91"/>
      <c r="CA109" s="91"/>
      <c r="CB109" s="90">
        <v>31329</v>
      </c>
      <c r="CC109" s="90"/>
      <c r="CD109" s="90"/>
      <c r="CE109" s="66"/>
      <c r="CF109" s="49"/>
      <c r="CG109" s="49"/>
      <c r="CH109" s="49"/>
      <c r="CI109" s="51">
        <f t="shared" si="36"/>
        <v>31329</v>
      </c>
      <c r="CJ109" s="81"/>
      <c r="CK109" s="367"/>
      <c r="CL109" s="367"/>
      <c r="CM109" s="81"/>
      <c r="CN109" s="367"/>
      <c r="CO109" s="367"/>
      <c r="CP109" s="1486"/>
      <c r="CQ109" s="1486"/>
      <c r="CR109" s="367"/>
      <c r="CS109" s="1486"/>
      <c r="CT109" s="1485"/>
      <c r="CU109" s="1485">
        <f t="shared" si="37"/>
        <v>0</v>
      </c>
      <c r="CV109" s="1486"/>
      <c r="CW109" s="1486"/>
      <c r="CX109" s="1486"/>
      <c r="CY109" s="1486"/>
      <c r="CZ109" s="1486"/>
    </row>
    <row r="110" spans="1:104" s="67" customFormat="1" ht="33">
      <c r="A110" s="452" t="s">
        <v>2122</v>
      </c>
      <c r="B110" s="44" t="s">
        <v>2112</v>
      </c>
      <c r="C110" s="44"/>
      <c r="D110" s="44"/>
      <c r="E110" s="44"/>
      <c r="F110" s="1194"/>
      <c r="G110" s="1194"/>
      <c r="H110" s="1194"/>
      <c r="I110" s="49"/>
      <c r="J110" s="49"/>
      <c r="K110" s="49"/>
      <c r="L110" s="49"/>
      <c r="M110" s="49"/>
      <c r="N110" s="49"/>
      <c r="O110" s="49"/>
      <c r="P110" s="49"/>
      <c r="Q110" s="66">
        <f>SUM(R110:V110)</f>
        <v>0</v>
      </c>
      <c r="R110" s="49"/>
      <c r="S110" s="49"/>
      <c r="T110" s="49"/>
      <c r="U110" s="49"/>
      <c r="V110" s="49"/>
      <c r="W110" s="79"/>
      <c r="X110" s="934"/>
      <c r="Y110" s="934"/>
      <c r="Z110" s="934"/>
      <c r="AA110" s="49"/>
      <c r="AB110" s="49"/>
      <c r="AC110" s="49"/>
      <c r="AD110" s="49"/>
      <c r="AE110" s="49"/>
      <c r="AF110" s="49"/>
      <c r="AG110" s="49"/>
      <c r="AH110" s="66">
        <f>SUM(AI110:AO110)</f>
        <v>0</v>
      </c>
      <c r="AI110" s="66">
        <f>SUM(AJ110:AP110)</f>
        <v>0</v>
      </c>
      <c r="AJ110" s="49"/>
      <c r="AK110" s="49"/>
      <c r="AL110" s="49"/>
      <c r="AM110" s="49"/>
      <c r="AN110" s="49"/>
      <c r="AO110" s="49"/>
      <c r="AP110" s="49"/>
      <c r="AQ110" s="49"/>
      <c r="AR110" s="49"/>
      <c r="AS110" s="49"/>
      <c r="AT110" s="49"/>
      <c r="AU110" s="49"/>
      <c r="AV110" s="49"/>
      <c r="AW110" s="49"/>
      <c r="AX110" s="49"/>
      <c r="AY110" s="79"/>
      <c r="AZ110" s="49"/>
      <c r="BA110" s="49"/>
      <c r="BB110" s="49"/>
      <c r="BC110" s="49"/>
      <c r="BD110" s="49"/>
      <c r="BE110" s="49"/>
      <c r="BF110" s="49"/>
      <c r="BG110" s="49"/>
      <c r="BH110" s="90">
        <f>SUM(BI110:BN110)</f>
        <v>0</v>
      </c>
      <c r="BI110" s="90"/>
      <c r="BJ110" s="90"/>
      <c r="BK110" s="90"/>
      <c r="BL110" s="90"/>
      <c r="BM110" s="90"/>
      <c r="BN110" s="90"/>
      <c r="BO110" s="90"/>
      <c r="BP110" s="90"/>
      <c r="BQ110" s="90"/>
      <c r="BR110" s="90"/>
      <c r="BS110" s="90"/>
      <c r="BT110" s="90"/>
      <c r="BU110" s="90"/>
      <c r="BV110" s="90"/>
      <c r="BW110" s="90"/>
      <c r="BX110" s="90">
        <f>SUM(BY110:CF110)</f>
        <v>56332</v>
      </c>
      <c r="BY110" s="91"/>
      <c r="BZ110" s="91"/>
      <c r="CA110" s="91"/>
      <c r="CB110" s="90">
        <v>56332</v>
      </c>
      <c r="CC110" s="90"/>
      <c r="CD110" s="90"/>
      <c r="CE110" s="66"/>
      <c r="CF110" s="49"/>
      <c r="CG110" s="49"/>
      <c r="CH110" s="49"/>
      <c r="CI110" s="51">
        <f t="shared" si="36"/>
        <v>56332</v>
      </c>
      <c r="CJ110" s="81"/>
      <c r="CK110" s="367"/>
      <c r="CL110" s="367"/>
      <c r="CM110" s="81"/>
      <c r="CN110" s="367"/>
      <c r="CO110" s="367"/>
      <c r="CP110" s="1486"/>
      <c r="CQ110" s="1486"/>
      <c r="CR110" s="367"/>
      <c r="CS110" s="1486"/>
      <c r="CT110" s="1485"/>
      <c r="CU110" s="1485">
        <f t="shared" si="37"/>
        <v>0</v>
      </c>
      <c r="CV110" s="1486"/>
      <c r="CW110" s="1486"/>
      <c r="CX110" s="1486"/>
      <c r="CY110" s="1486"/>
      <c r="CZ110" s="1486"/>
    </row>
    <row r="111" spans="1:104" s="67" customFormat="1" ht="33">
      <c r="A111" s="452" t="s">
        <v>2123</v>
      </c>
      <c r="B111" s="44" t="s">
        <v>2113</v>
      </c>
      <c r="C111" s="44"/>
      <c r="D111" s="44"/>
      <c r="E111" s="44"/>
      <c r="F111" s="1194"/>
      <c r="G111" s="1194"/>
      <c r="H111" s="1194"/>
      <c r="I111" s="49"/>
      <c r="J111" s="49"/>
      <c r="K111" s="49"/>
      <c r="L111" s="49"/>
      <c r="M111" s="49"/>
      <c r="N111" s="49"/>
      <c r="O111" s="49"/>
      <c r="P111" s="49"/>
      <c r="Q111" s="66"/>
      <c r="R111" s="49"/>
      <c r="S111" s="49"/>
      <c r="T111" s="49"/>
      <c r="U111" s="49"/>
      <c r="V111" s="49"/>
      <c r="W111" s="79"/>
      <c r="X111" s="49"/>
      <c r="Y111" s="49"/>
      <c r="Z111" s="49"/>
      <c r="AA111" s="49"/>
      <c r="AB111" s="49"/>
      <c r="AC111" s="49"/>
      <c r="AD111" s="49"/>
      <c r="AE111" s="49"/>
      <c r="AF111" s="49"/>
      <c r="AG111" s="49"/>
      <c r="AH111" s="66"/>
      <c r="AI111" s="66"/>
      <c r="AJ111" s="49"/>
      <c r="AK111" s="49"/>
      <c r="AL111" s="49"/>
      <c r="AM111" s="49"/>
      <c r="AN111" s="49"/>
      <c r="AO111" s="49"/>
      <c r="AP111" s="49"/>
      <c r="AQ111" s="49"/>
      <c r="AR111" s="49"/>
      <c r="AS111" s="49"/>
      <c r="AT111" s="49"/>
      <c r="AU111" s="49"/>
      <c r="AV111" s="49"/>
      <c r="AW111" s="49"/>
      <c r="AX111" s="49"/>
      <c r="AY111" s="79"/>
      <c r="AZ111" s="49"/>
      <c r="BA111" s="49"/>
      <c r="BB111" s="49"/>
      <c r="BC111" s="49"/>
      <c r="BD111" s="49"/>
      <c r="BE111" s="49"/>
      <c r="BF111" s="49"/>
      <c r="BG111" s="49"/>
      <c r="BH111" s="90"/>
      <c r="BI111" s="90"/>
      <c r="BJ111" s="90"/>
      <c r="BK111" s="90"/>
      <c r="BL111" s="90"/>
      <c r="BM111" s="90"/>
      <c r="BN111" s="90"/>
      <c r="BO111" s="90"/>
      <c r="BP111" s="90"/>
      <c r="BQ111" s="90"/>
      <c r="BR111" s="90"/>
      <c r="BS111" s="90"/>
      <c r="BT111" s="90"/>
      <c r="BU111" s="90"/>
      <c r="BV111" s="90"/>
      <c r="BW111" s="90"/>
      <c r="BX111" s="90">
        <f>SUM(BY111:CF111)</f>
        <v>20367</v>
      </c>
      <c r="BY111" s="91"/>
      <c r="BZ111" s="91"/>
      <c r="CA111" s="91"/>
      <c r="CB111" s="90">
        <v>20367</v>
      </c>
      <c r="CC111" s="90"/>
      <c r="CD111" s="90"/>
      <c r="CE111" s="66"/>
      <c r="CF111" s="49"/>
      <c r="CG111" s="49"/>
      <c r="CH111" s="49"/>
      <c r="CI111" s="51">
        <f t="shared" si="36"/>
        <v>20367</v>
      </c>
      <c r="CJ111" s="81"/>
      <c r="CK111" s="367"/>
      <c r="CL111" s="367"/>
      <c r="CM111" s="81"/>
      <c r="CN111" s="367"/>
      <c r="CO111" s="367"/>
      <c r="CP111" s="1486"/>
      <c r="CQ111" s="1486"/>
      <c r="CR111" s="367"/>
      <c r="CS111" s="1486"/>
      <c r="CT111" s="1485"/>
      <c r="CU111" s="1485">
        <f t="shared" si="37"/>
        <v>0</v>
      </c>
      <c r="CV111" s="1486"/>
      <c r="CW111" s="1486"/>
      <c r="CX111" s="1486"/>
      <c r="CY111" s="1486"/>
      <c r="CZ111" s="1486"/>
    </row>
    <row r="112" spans="1:104" s="67" customFormat="1" ht="33">
      <c r="A112" s="452" t="s">
        <v>2124</v>
      </c>
      <c r="B112" s="44" t="s">
        <v>2114</v>
      </c>
      <c r="C112" s="44"/>
      <c r="D112" s="44"/>
      <c r="E112" s="44"/>
      <c r="F112" s="1194"/>
      <c r="G112" s="1194"/>
      <c r="H112" s="1194"/>
      <c r="I112" s="49"/>
      <c r="J112" s="49"/>
      <c r="K112" s="49"/>
      <c r="L112" s="49"/>
      <c r="M112" s="49"/>
      <c r="N112" s="49"/>
      <c r="O112" s="49"/>
      <c r="P112" s="49"/>
      <c r="Q112" s="66"/>
      <c r="R112" s="49"/>
      <c r="S112" s="49"/>
      <c r="T112" s="49"/>
      <c r="U112" s="49"/>
      <c r="V112" s="49"/>
      <c r="W112" s="79"/>
      <c r="X112" s="934"/>
      <c r="Y112" s="934"/>
      <c r="Z112" s="934"/>
      <c r="AA112" s="49"/>
      <c r="AB112" s="49"/>
      <c r="AC112" s="49"/>
      <c r="AD112" s="49"/>
      <c r="AE112" s="49"/>
      <c r="AF112" s="49"/>
      <c r="AG112" s="49"/>
      <c r="AH112" s="66"/>
      <c r="AI112" s="66"/>
      <c r="AJ112" s="49"/>
      <c r="AK112" s="49"/>
      <c r="AL112" s="49"/>
      <c r="AM112" s="49"/>
      <c r="AN112" s="49"/>
      <c r="AO112" s="49"/>
      <c r="AP112" s="49"/>
      <c r="AQ112" s="49"/>
      <c r="AR112" s="49"/>
      <c r="AS112" s="49"/>
      <c r="AT112" s="49"/>
      <c r="AU112" s="49"/>
      <c r="AV112" s="49"/>
      <c r="AW112" s="49"/>
      <c r="AX112" s="49"/>
      <c r="AY112" s="79"/>
      <c r="AZ112" s="49"/>
      <c r="BA112" s="49"/>
      <c r="BB112" s="49"/>
      <c r="BC112" s="49"/>
      <c r="BD112" s="49"/>
      <c r="BE112" s="49"/>
      <c r="BF112" s="49"/>
      <c r="BG112" s="49"/>
      <c r="BH112" s="90"/>
      <c r="BI112" s="90"/>
      <c r="BJ112" s="90"/>
      <c r="BK112" s="90"/>
      <c r="BL112" s="90"/>
      <c r="BM112" s="90"/>
      <c r="BN112" s="90"/>
      <c r="BO112" s="90"/>
      <c r="BP112" s="90"/>
      <c r="BQ112" s="90"/>
      <c r="BR112" s="90"/>
      <c r="BS112" s="90"/>
      <c r="BT112" s="90"/>
      <c r="BU112" s="90"/>
      <c r="BV112" s="90"/>
      <c r="BW112" s="90"/>
      <c r="BX112" s="90">
        <f>SUM(BY112:CF112)</f>
        <v>18263</v>
      </c>
      <c r="BY112" s="91"/>
      <c r="BZ112" s="91"/>
      <c r="CA112" s="91"/>
      <c r="CB112" s="90">
        <v>18263</v>
      </c>
      <c r="CC112" s="90"/>
      <c r="CD112" s="90"/>
      <c r="CE112" s="66"/>
      <c r="CF112" s="49"/>
      <c r="CG112" s="49"/>
      <c r="CH112" s="49"/>
      <c r="CI112" s="51">
        <f t="shared" si="36"/>
        <v>18263</v>
      </c>
      <c r="CJ112" s="81"/>
      <c r="CK112" s="367"/>
      <c r="CL112" s="367"/>
      <c r="CM112" s="81"/>
      <c r="CN112" s="367"/>
      <c r="CO112" s="367"/>
      <c r="CP112" s="1486"/>
      <c r="CQ112" s="1486"/>
      <c r="CR112" s="367"/>
      <c r="CS112" s="1486"/>
      <c r="CT112" s="1485"/>
      <c r="CU112" s="1485">
        <f t="shared" si="37"/>
        <v>0</v>
      </c>
      <c r="CV112" s="1486"/>
      <c r="CW112" s="1486"/>
      <c r="CX112" s="1486"/>
      <c r="CY112" s="1486"/>
      <c r="CZ112" s="1486"/>
    </row>
    <row r="113" spans="1:104" s="67" customFormat="1" hidden="1">
      <c r="A113" s="200"/>
      <c r="B113" s="44"/>
      <c r="C113" s="44"/>
      <c r="D113" s="44"/>
      <c r="E113" s="44"/>
      <c r="F113" s="1194"/>
      <c r="G113" s="1194"/>
      <c r="H113" s="1194"/>
      <c r="I113" s="49"/>
      <c r="J113" s="49"/>
      <c r="K113" s="49"/>
      <c r="L113" s="49"/>
      <c r="M113" s="49"/>
      <c r="N113" s="49"/>
      <c r="O113" s="49"/>
      <c r="P113" s="49"/>
      <c r="Q113" s="66">
        <f t="shared" si="44"/>
        <v>0</v>
      </c>
      <c r="R113" s="49"/>
      <c r="S113" s="49"/>
      <c r="T113" s="49"/>
      <c r="U113" s="49"/>
      <c r="V113" s="49"/>
      <c r="W113" s="79"/>
      <c r="X113" s="49"/>
      <c r="Y113" s="49"/>
      <c r="Z113" s="49"/>
      <c r="AA113" s="49"/>
      <c r="AB113" s="49"/>
      <c r="AC113" s="49"/>
      <c r="AD113" s="49"/>
      <c r="AE113" s="49"/>
      <c r="AF113" s="49"/>
      <c r="AG113" s="49"/>
      <c r="AH113" s="66">
        <f t="shared" si="45"/>
        <v>0</v>
      </c>
      <c r="AI113" s="66">
        <f t="shared" si="42"/>
        <v>0</v>
      </c>
      <c r="AJ113" s="49"/>
      <c r="AK113" s="49"/>
      <c r="AL113" s="49"/>
      <c r="AM113" s="49"/>
      <c r="AN113" s="49"/>
      <c r="AO113" s="49"/>
      <c r="AP113" s="49"/>
      <c r="AQ113" s="49"/>
      <c r="AR113" s="49"/>
      <c r="AS113" s="49"/>
      <c r="AT113" s="49"/>
      <c r="AU113" s="49"/>
      <c r="AV113" s="49"/>
      <c r="AW113" s="49"/>
      <c r="AX113" s="49"/>
      <c r="AY113" s="79"/>
      <c r="AZ113" s="49"/>
      <c r="BA113" s="49"/>
      <c r="BB113" s="49"/>
      <c r="BC113" s="49"/>
      <c r="BD113" s="49"/>
      <c r="BE113" s="49"/>
      <c r="BF113" s="49"/>
      <c r="BG113" s="49"/>
      <c r="BH113" s="90">
        <f t="shared" si="46"/>
        <v>0</v>
      </c>
      <c r="BI113" s="90"/>
      <c r="BJ113" s="90"/>
      <c r="BK113" s="90"/>
      <c r="BL113" s="90"/>
      <c r="BM113" s="90"/>
      <c r="BN113" s="90"/>
      <c r="BO113" s="90"/>
      <c r="BP113" s="90"/>
      <c r="BQ113" s="90"/>
      <c r="BR113" s="90"/>
      <c r="BS113" s="90"/>
      <c r="BT113" s="90"/>
      <c r="BU113" s="90"/>
      <c r="BV113" s="90"/>
      <c r="BW113" s="90"/>
      <c r="BX113" s="90">
        <f t="shared" si="43"/>
        <v>0</v>
      </c>
      <c r="BY113" s="91"/>
      <c r="BZ113" s="91"/>
      <c r="CA113" s="91"/>
      <c r="CB113" s="91"/>
      <c r="CC113" s="90"/>
      <c r="CD113" s="90"/>
      <c r="CE113" s="66"/>
      <c r="CF113" s="49"/>
      <c r="CG113" s="49"/>
      <c r="CH113" s="49"/>
      <c r="CI113" s="51">
        <f t="shared" si="36"/>
        <v>0</v>
      </c>
      <c r="CJ113" s="81"/>
      <c r="CK113" s="367"/>
      <c r="CL113" s="367"/>
      <c r="CM113" s="81"/>
      <c r="CN113" s="367"/>
      <c r="CO113" s="367"/>
      <c r="CP113" s="1486"/>
      <c r="CQ113" s="1486"/>
      <c r="CR113" s="367"/>
      <c r="CS113" s="1486"/>
      <c r="CT113" s="1485"/>
      <c r="CU113" s="1485">
        <f t="shared" si="37"/>
        <v>0</v>
      </c>
      <c r="CV113" s="1486"/>
      <c r="CW113" s="1486"/>
      <c r="CX113" s="1486"/>
      <c r="CY113" s="1486"/>
      <c r="CZ113" s="1486"/>
    </row>
    <row r="114" spans="1:104">
      <c r="A114" s="68"/>
      <c r="B114" s="29" t="s">
        <v>86</v>
      </c>
      <c r="C114" s="29"/>
      <c r="D114" s="49">
        <f t="shared" ref="D114:AI114" si="47">SUM(D100:D113)+D99+D47+D23</f>
        <v>359000</v>
      </c>
      <c r="E114" s="49">
        <f t="shared" si="47"/>
        <v>6019783</v>
      </c>
      <c r="F114" s="1194">
        <f t="shared" si="47"/>
        <v>25729251</v>
      </c>
      <c r="G114" s="1194">
        <f t="shared" si="47"/>
        <v>12819365</v>
      </c>
      <c r="H114" s="1194">
        <f t="shared" si="47"/>
        <v>44927399</v>
      </c>
      <c r="I114" s="49">
        <f t="shared" si="47"/>
        <v>359152300</v>
      </c>
      <c r="J114" s="49">
        <f t="shared" si="47"/>
        <v>847599300</v>
      </c>
      <c r="K114" s="49">
        <f t="shared" si="47"/>
        <v>227953600</v>
      </c>
      <c r="L114" s="49">
        <f t="shared" si="47"/>
        <v>2193248600</v>
      </c>
      <c r="M114" s="49">
        <f t="shared" si="47"/>
        <v>0</v>
      </c>
      <c r="N114" s="49">
        <f t="shared" si="47"/>
        <v>0</v>
      </c>
      <c r="O114" s="49">
        <f t="shared" si="47"/>
        <v>0</v>
      </c>
      <c r="P114" s="49">
        <f t="shared" si="47"/>
        <v>44476200</v>
      </c>
      <c r="Q114" s="49">
        <f t="shared" si="47"/>
        <v>31922251</v>
      </c>
      <c r="R114" s="49">
        <f t="shared" si="47"/>
        <v>26340500</v>
      </c>
      <c r="S114" s="49">
        <f t="shared" si="47"/>
        <v>2258700</v>
      </c>
      <c r="T114" s="49">
        <f t="shared" si="47"/>
        <v>3323051</v>
      </c>
      <c r="U114" s="49">
        <f t="shared" si="47"/>
        <v>1268551</v>
      </c>
      <c r="V114" s="49">
        <f t="shared" si="47"/>
        <v>2054500</v>
      </c>
      <c r="W114" s="79">
        <f t="shared" si="47"/>
        <v>5487001.8200000003</v>
      </c>
      <c r="X114" s="49">
        <f t="shared" si="47"/>
        <v>27917000</v>
      </c>
      <c r="Y114" s="49">
        <f t="shared" si="47"/>
        <v>2121200</v>
      </c>
      <c r="Z114" s="49">
        <f t="shared" si="47"/>
        <v>25795800</v>
      </c>
      <c r="AA114" s="49">
        <f t="shared" si="47"/>
        <v>7965800</v>
      </c>
      <c r="AB114" s="49">
        <f t="shared" si="47"/>
        <v>0</v>
      </c>
      <c r="AC114" s="49">
        <f t="shared" si="47"/>
        <v>0</v>
      </c>
      <c r="AD114" s="49">
        <f t="shared" si="47"/>
        <v>34339400</v>
      </c>
      <c r="AE114" s="49">
        <f t="shared" si="47"/>
        <v>28740000</v>
      </c>
      <c r="AF114" s="49">
        <f t="shared" si="47"/>
        <v>956400</v>
      </c>
      <c r="AG114" s="49">
        <f t="shared" si="47"/>
        <v>4643000</v>
      </c>
      <c r="AH114" s="49">
        <f t="shared" si="47"/>
        <v>15963200</v>
      </c>
      <c r="AI114" s="49">
        <f t="shared" si="47"/>
        <v>9952900</v>
      </c>
      <c r="AJ114" s="49">
        <f t="shared" ref="AJ114:BP114" si="48">SUM(AJ100:AJ113)+AJ99+AJ47+AJ23</f>
        <v>3229700</v>
      </c>
      <c r="AK114" s="49">
        <f t="shared" si="48"/>
        <v>558000</v>
      </c>
      <c r="AL114" s="49">
        <f t="shared" si="48"/>
        <v>1155000</v>
      </c>
      <c r="AM114" s="49">
        <f t="shared" si="48"/>
        <v>630000</v>
      </c>
      <c r="AN114" s="49">
        <f t="shared" si="48"/>
        <v>437600</v>
      </c>
      <c r="AO114" s="49">
        <f t="shared" si="48"/>
        <v>0</v>
      </c>
      <c r="AP114" s="49">
        <f t="shared" si="48"/>
        <v>35948030</v>
      </c>
      <c r="AQ114" s="49">
        <f t="shared" si="48"/>
        <v>8819905</v>
      </c>
      <c r="AR114" s="49">
        <f t="shared" si="48"/>
        <v>14227470</v>
      </c>
      <c r="AS114" s="49">
        <f t="shared" si="48"/>
        <v>12332255</v>
      </c>
      <c r="AT114" s="49">
        <f t="shared" si="48"/>
        <v>568400</v>
      </c>
      <c r="AU114" s="49">
        <f t="shared" si="48"/>
        <v>0</v>
      </c>
      <c r="AV114" s="49">
        <f t="shared" si="48"/>
        <v>33391200</v>
      </c>
      <c r="AW114" s="49">
        <f t="shared" si="48"/>
        <v>33391200</v>
      </c>
      <c r="AX114" s="49"/>
      <c r="AY114" s="79">
        <f t="shared" si="48"/>
        <v>15703771.890000001</v>
      </c>
      <c r="AZ114" s="79">
        <f t="shared" si="48"/>
        <v>938511</v>
      </c>
      <c r="BA114" s="79">
        <f t="shared" si="48"/>
        <v>11534501.18</v>
      </c>
      <c r="BB114" s="79">
        <f t="shared" si="48"/>
        <v>1239284</v>
      </c>
      <c r="BC114" s="49">
        <f t="shared" si="48"/>
        <v>1321180</v>
      </c>
      <c r="BD114" s="49">
        <f t="shared" si="48"/>
        <v>4280</v>
      </c>
      <c r="BE114" s="49">
        <f t="shared" si="48"/>
        <v>0</v>
      </c>
      <c r="BF114" s="49">
        <f t="shared" si="48"/>
        <v>0</v>
      </c>
      <c r="BG114" s="49">
        <f t="shared" si="48"/>
        <v>0</v>
      </c>
      <c r="BH114" s="49">
        <f t="shared" si="48"/>
        <v>38656280</v>
      </c>
      <c r="BI114" s="49">
        <f t="shared" si="48"/>
        <v>5704348</v>
      </c>
      <c r="BJ114" s="49">
        <f t="shared" si="48"/>
        <v>8621432</v>
      </c>
      <c r="BK114" s="49">
        <f t="shared" si="48"/>
        <v>13830100</v>
      </c>
      <c r="BL114" s="49">
        <f t="shared" si="48"/>
        <v>0</v>
      </c>
      <c r="BM114" s="49">
        <f t="shared" si="48"/>
        <v>10500400</v>
      </c>
      <c r="BN114" s="49">
        <f t="shared" si="48"/>
        <v>0</v>
      </c>
      <c r="BO114" s="49">
        <f t="shared" si="48"/>
        <v>0</v>
      </c>
      <c r="BP114" s="49">
        <f t="shared" si="48"/>
        <v>0</v>
      </c>
      <c r="BQ114" s="49">
        <f t="shared" ref="BQ114:CH114" si="49">SUM(BQ100:BQ113)+BQ99+BQ47+BQ23</f>
        <v>0</v>
      </c>
      <c r="BR114" s="49">
        <f t="shared" si="49"/>
        <v>0</v>
      </c>
      <c r="BS114" s="49">
        <f t="shared" si="49"/>
        <v>0</v>
      </c>
      <c r="BT114" s="49">
        <f t="shared" si="49"/>
        <v>0</v>
      </c>
      <c r="BU114" s="49">
        <f t="shared" si="49"/>
        <v>5102200</v>
      </c>
      <c r="BV114" s="49">
        <f t="shared" si="49"/>
        <v>0</v>
      </c>
      <c r="BW114" s="49">
        <f t="shared" si="49"/>
        <v>2208000</v>
      </c>
      <c r="BX114" s="49">
        <f t="shared" si="49"/>
        <v>22508727</v>
      </c>
      <c r="BY114" s="49">
        <f t="shared" si="49"/>
        <v>4597602</v>
      </c>
      <c r="BZ114" s="49">
        <f t="shared" si="49"/>
        <v>12798947</v>
      </c>
      <c r="CA114" s="91">
        <f t="shared" si="49"/>
        <v>1000000</v>
      </c>
      <c r="CB114" s="49">
        <f t="shared" si="49"/>
        <v>1217178</v>
      </c>
      <c r="CC114" s="49">
        <f t="shared" si="49"/>
        <v>0</v>
      </c>
      <c r="CD114" s="49">
        <f t="shared" si="49"/>
        <v>0</v>
      </c>
      <c r="CE114" s="49">
        <f t="shared" si="49"/>
        <v>0</v>
      </c>
      <c r="CF114" s="49">
        <f t="shared" si="49"/>
        <v>2895000</v>
      </c>
      <c r="CG114" s="49">
        <f t="shared" si="49"/>
        <v>125000</v>
      </c>
      <c r="CH114" s="49">
        <f t="shared" si="49"/>
        <v>2770000</v>
      </c>
      <c r="CI114" s="79">
        <f t="shared" si="36"/>
        <v>3964576337.8899999</v>
      </c>
      <c r="CJ114" s="81"/>
      <c r="CK114" s="81"/>
      <c r="CL114" s="81"/>
      <c r="CM114" s="81"/>
      <c r="CN114" s="81"/>
      <c r="CO114" s="81"/>
      <c r="CP114" s="1486"/>
      <c r="CQ114" s="1486"/>
      <c r="CR114" s="367"/>
      <c r="CS114" s="36"/>
      <c r="CT114" s="1485"/>
      <c r="CU114" s="1485">
        <f t="shared" si="37"/>
        <v>0</v>
      </c>
      <c r="CV114" s="36"/>
      <c r="CW114" s="36"/>
      <c r="CX114" s="36"/>
      <c r="CY114" s="36"/>
      <c r="CZ114" s="36"/>
    </row>
    <row r="115" spans="1:104">
      <c r="A115" s="68"/>
      <c r="B115" s="30" t="s">
        <v>189</v>
      </c>
      <c r="C115" s="30"/>
      <c r="D115" s="30"/>
      <c r="E115" s="30"/>
      <c r="F115" s="1194"/>
      <c r="G115" s="1194"/>
      <c r="H115" s="1194"/>
      <c r="I115" s="49"/>
      <c r="J115" s="49"/>
      <c r="K115" s="49"/>
      <c r="L115" s="49"/>
      <c r="M115" s="49"/>
      <c r="N115" s="49"/>
      <c r="O115" s="49"/>
      <c r="P115" s="49"/>
      <c r="Q115" s="66">
        <f>SUM(R115:V115)</f>
        <v>0</v>
      </c>
      <c r="R115" s="49"/>
      <c r="S115" s="49"/>
      <c r="T115" s="49"/>
      <c r="U115" s="49"/>
      <c r="V115" s="49"/>
      <c r="W115" s="79"/>
      <c r="X115" s="49"/>
      <c r="Y115" s="49"/>
      <c r="Z115" s="49"/>
      <c r="AA115" s="49"/>
      <c r="AB115" s="49"/>
      <c r="AC115" s="49"/>
      <c r="AD115" s="90">
        <f>SUM(AE115:AG115)</f>
        <v>0</v>
      </c>
      <c r="AE115" s="49"/>
      <c r="AF115" s="49"/>
      <c r="AG115" s="49"/>
      <c r="AH115" s="90">
        <f>AI115+AK115+AJ115+AL115+AM115+AN115+AO115</f>
        <v>0</v>
      </c>
      <c r="AI115" s="49">
        <f>SUM(AJ115:AP115)</f>
        <v>0</v>
      </c>
      <c r="AJ115" s="49"/>
      <c r="AK115" s="49"/>
      <c r="AL115" s="49"/>
      <c r="AM115" s="49"/>
      <c r="AN115" s="49"/>
      <c r="AO115" s="49"/>
      <c r="AP115" s="90">
        <f>SUM(AQ115:AU115)</f>
        <v>0</v>
      </c>
      <c r="AQ115" s="49"/>
      <c r="AR115" s="49"/>
      <c r="AS115" s="49"/>
      <c r="AT115" s="49"/>
      <c r="AU115" s="49"/>
      <c r="AV115" s="49"/>
      <c r="AW115" s="49"/>
      <c r="AX115" s="49"/>
      <c r="AY115" s="79"/>
      <c r="AZ115" s="49"/>
      <c r="BA115" s="49"/>
      <c r="BB115" s="49"/>
      <c r="BC115" s="49"/>
      <c r="BD115" s="49"/>
      <c r="BE115" s="76">
        <f>7247112+100000-428437</f>
        <v>6918675</v>
      </c>
      <c r="BF115" s="49"/>
      <c r="BG115" s="49"/>
      <c r="BH115" s="90">
        <f>SUM(BI115:BN115)</f>
        <v>0</v>
      </c>
      <c r="BI115" s="91"/>
      <c r="BJ115" s="91"/>
      <c r="BK115" s="91"/>
      <c r="BL115" s="91"/>
      <c r="BM115" s="91"/>
      <c r="BN115" s="49"/>
      <c r="BO115" s="66">
        <f>2319398+428437</f>
        <v>2747835</v>
      </c>
      <c r="BP115" s="49"/>
      <c r="BQ115" s="66">
        <f>SUM(BR115:BT115)</f>
        <v>0</v>
      </c>
      <c r="BR115" s="49"/>
      <c r="BS115" s="49"/>
      <c r="BT115" s="49"/>
      <c r="BU115" s="49"/>
      <c r="BV115" s="49"/>
      <c r="BW115" s="49"/>
      <c r="BX115" s="90">
        <f>SUM(BY115:CF115)</f>
        <v>0</v>
      </c>
      <c r="BY115" s="91"/>
      <c r="BZ115" s="91"/>
      <c r="CA115" s="91"/>
      <c r="CB115" s="91"/>
      <c r="CC115" s="91"/>
      <c r="CD115" s="91"/>
      <c r="CE115" s="49"/>
      <c r="CF115" s="49"/>
      <c r="CG115" s="49"/>
      <c r="CH115" s="49"/>
      <c r="CI115" s="51">
        <f t="shared" si="36"/>
        <v>9666510</v>
      </c>
      <c r="CJ115" s="81"/>
      <c r="CK115" s="367"/>
      <c r="CL115" s="367"/>
      <c r="CM115" s="81"/>
      <c r="CN115" s="367"/>
      <c r="CO115" s="367"/>
      <c r="CP115" s="1486"/>
      <c r="CQ115" s="1486"/>
      <c r="CR115" s="367"/>
      <c r="CS115" s="36"/>
      <c r="CT115" s="1485"/>
      <c r="CU115" s="1485">
        <f t="shared" si="37"/>
        <v>0</v>
      </c>
      <c r="CV115" s="36"/>
      <c r="CW115" s="36"/>
      <c r="CX115" s="36"/>
      <c r="CY115" s="36"/>
      <c r="CZ115" s="36"/>
    </row>
    <row r="116" spans="1:104" hidden="1">
      <c r="A116" s="68"/>
      <c r="B116" s="30" t="s">
        <v>230</v>
      </c>
      <c r="C116" s="30"/>
      <c r="D116" s="30"/>
      <c r="E116" s="30"/>
      <c r="F116" s="1194"/>
      <c r="G116" s="1194"/>
      <c r="H116" s="1194"/>
      <c r="I116" s="49"/>
      <c r="J116" s="49"/>
      <c r="K116" s="49"/>
      <c r="L116" s="49"/>
      <c r="M116" s="49"/>
      <c r="N116" s="49"/>
      <c r="O116" s="49"/>
      <c r="P116" s="49"/>
      <c r="Q116" s="66">
        <f>SUM(R116:V116)</f>
        <v>0</v>
      </c>
      <c r="R116" s="49"/>
      <c r="S116" s="49"/>
      <c r="T116" s="49"/>
      <c r="U116" s="49"/>
      <c r="V116" s="49"/>
      <c r="W116" s="79"/>
      <c r="X116" s="49"/>
      <c r="Y116" s="49"/>
      <c r="Z116" s="49"/>
      <c r="AA116" s="49"/>
      <c r="AB116" s="49"/>
      <c r="AC116" s="49"/>
      <c r="AD116" s="90">
        <f>SUM(AE116:AG116)</f>
        <v>0</v>
      </c>
      <c r="AE116" s="49"/>
      <c r="AF116" s="49"/>
      <c r="AG116" s="49"/>
      <c r="AH116" s="90">
        <f>AI116+AK116+AJ116+AL116+AM116+AN116+AO116</f>
        <v>0</v>
      </c>
      <c r="AI116" s="49">
        <f>SUM(AJ116:AP116)</f>
        <v>0</v>
      </c>
      <c r="AJ116" s="49"/>
      <c r="AK116" s="49"/>
      <c r="AL116" s="49"/>
      <c r="AM116" s="49"/>
      <c r="AN116" s="49"/>
      <c r="AO116" s="49"/>
      <c r="AP116" s="90">
        <f>SUM(AQ116:AU116)</f>
        <v>0</v>
      </c>
      <c r="AQ116" s="49"/>
      <c r="AR116" s="49"/>
      <c r="AS116" s="49"/>
      <c r="AT116" s="49"/>
      <c r="AU116" s="49"/>
      <c r="AV116" s="49"/>
      <c r="AW116" s="49"/>
      <c r="AX116" s="49"/>
      <c r="AY116" s="79"/>
      <c r="AZ116" s="49"/>
      <c r="BA116" s="49"/>
      <c r="BB116" s="49"/>
      <c r="BC116" s="49"/>
      <c r="BD116" s="49"/>
      <c r="BE116" s="76"/>
      <c r="BF116" s="49"/>
      <c r="BG116" s="49"/>
      <c r="BH116" s="90">
        <f>SUM(BI116:BN116)</f>
        <v>0</v>
      </c>
      <c r="BI116" s="91"/>
      <c r="BJ116" s="91"/>
      <c r="BK116" s="91"/>
      <c r="BL116" s="91"/>
      <c r="BM116" s="91"/>
      <c r="BN116" s="49"/>
      <c r="BO116" s="49"/>
      <c r="BP116" s="49"/>
      <c r="BQ116" s="66">
        <f>SUM(BR116:BT116)</f>
        <v>0</v>
      </c>
      <c r="BR116" s="49"/>
      <c r="BS116" s="49"/>
      <c r="BT116" s="49"/>
      <c r="BU116" s="49"/>
      <c r="BV116" s="49"/>
      <c r="BW116" s="49"/>
      <c r="BX116" s="90">
        <f>SUM(BY116:CF116)</f>
        <v>0</v>
      </c>
      <c r="BY116" s="91"/>
      <c r="BZ116" s="91"/>
      <c r="CA116" s="91"/>
      <c r="CB116" s="91"/>
      <c r="CC116" s="91"/>
      <c r="CD116" s="91"/>
      <c r="CE116" s="49"/>
      <c r="CF116" s="49"/>
      <c r="CG116" s="49"/>
      <c r="CH116" s="49"/>
      <c r="CI116" s="51">
        <f t="shared" si="36"/>
        <v>0</v>
      </c>
      <c r="CJ116" s="81"/>
      <c r="CK116" s="367"/>
      <c r="CL116" s="367"/>
      <c r="CM116" s="81"/>
      <c r="CN116" s="367"/>
      <c r="CO116" s="367"/>
      <c r="CP116" s="1486"/>
      <c r="CQ116" s="1486"/>
      <c r="CR116" s="367"/>
      <c r="CS116" s="36"/>
      <c r="CT116" s="1485"/>
      <c r="CU116" s="1485">
        <f t="shared" si="37"/>
        <v>0</v>
      </c>
      <c r="CV116" s="36"/>
      <c r="CW116" s="36"/>
      <c r="CX116" s="36"/>
      <c r="CY116" s="36"/>
      <c r="CZ116" s="36"/>
    </row>
    <row r="117" spans="1:104" ht="18.600000000000001" customHeight="1">
      <c r="A117" s="68"/>
      <c r="B117" s="30" t="s">
        <v>198</v>
      </c>
      <c r="C117" s="30"/>
      <c r="D117" s="30"/>
      <c r="E117" s="30"/>
      <c r="F117" s="1194"/>
      <c r="G117" s="1194"/>
      <c r="H117" s="415">
        <f>D117+F117+G117</f>
        <v>0</v>
      </c>
      <c r="I117" s="49"/>
      <c r="J117" s="66"/>
      <c r="K117" s="49"/>
      <c r="L117" s="49"/>
      <c r="M117" s="49"/>
      <c r="N117" s="66"/>
      <c r="O117" s="66">
        <f>736814-589544-147270</f>
        <v>0</v>
      </c>
      <c r="P117" s="49"/>
      <c r="Q117" s="66">
        <f>SUM(R117:V117)</f>
        <v>0</v>
      </c>
      <c r="R117" s="49"/>
      <c r="S117" s="49"/>
      <c r="T117" s="66">
        <f>SUM(U117:V117)</f>
        <v>0</v>
      </c>
      <c r="U117" s="49"/>
      <c r="V117" s="49"/>
      <c r="W117" s="79"/>
      <c r="X117" s="49"/>
      <c r="Y117" s="49"/>
      <c r="Z117" s="49"/>
      <c r="AA117" s="66"/>
      <c r="AB117" s="66"/>
      <c r="AC117" s="66"/>
      <c r="AD117" s="90">
        <f>SUM(AE117:AG117)</f>
        <v>1442000</v>
      </c>
      <c r="AE117" s="49">
        <v>1442000</v>
      </c>
      <c r="AF117" s="49"/>
      <c r="AG117" s="49"/>
      <c r="AH117" s="90">
        <f>AI117+AK117+AJ117+AL117+AM117+AN117+AO117</f>
        <v>200000</v>
      </c>
      <c r="AI117" s="49"/>
      <c r="AJ117" s="49"/>
      <c r="AK117" s="66">
        <f>113350-113350</f>
        <v>0</v>
      </c>
      <c r="AL117" s="49"/>
      <c r="AM117" s="49"/>
      <c r="AN117" s="49"/>
      <c r="AO117" s="49">
        <v>200000</v>
      </c>
      <c r="AP117" s="90">
        <f>SUM(AQ117:AU117)</f>
        <v>7970000</v>
      </c>
      <c r="AQ117" s="66"/>
      <c r="AR117" s="66"/>
      <c r="AS117" s="66"/>
      <c r="AT117" s="66"/>
      <c r="AU117" s="66">
        <v>7970000</v>
      </c>
      <c r="AV117" s="66">
        <v>9722200</v>
      </c>
      <c r="AW117" s="66"/>
      <c r="AX117" s="66">
        <v>9722200</v>
      </c>
      <c r="AY117" s="51"/>
      <c r="AZ117" s="66"/>
      <c r="BA117" s="66"/>
      <c r="BB117" s="66"/>
      <c r="BC117" s="66"/>
      <c r="BD117" s="66"/>
      <c r="BE117" s="76"/>
      <c r="BF117" s="49"/>
      <c r="BG117" s="49">
        <v>17899300</v>
      </c>
      <c r="BH117" s="90">
        <f>SUM(BI117:BN117)</f>
        <v>0</v>
      </c>
      <c r="BI117" s="90"/>
      <c r="BJ117" s="90"/>
      <c r="BK117" s="90"/>
      <c r="BL117" s="90"/>
      <c r="BM117" s="90"/>
      <c r="BN117" s="49"/>
      <c r="BO117" s="49"/>
      <c r="BP117" s="66"/>
      <c r="BQ117" s="66">
        <f>SUM(BR117:BT117)</f>
        <v>0</v>
      </c>
      <c r="BR117" s="49"/>
      <c r="BS117" s="49"/>
      <c r="BT117" s="49"/>
      <c r="BU117" s="49"/>
      <c r="BV117" s="49"/>
      <c r="BW117" s="90"/>
      <c r="BX117" s="90">
        <f>SUM(BY117:CF117)</f>
        <v>450000</v>
      </c>
      <c r="BY117" s="91"/>
      <c r="BZ117" s="91"/>
      <c r="CA117" s="91"/>
      <c r="CB117" s="90"/>
      <c r="CC117" s="90">
        <f>500000-500000</f>
        <v>0</v>
      </c>
      <c r="CD117" s="90"/>
      <c r="CE117" s="66">
        <v>450000</v>
      </c>
      <c r="CF117" s="49">
        <f>SUM(CG117:CH117)</f>
        <v>0</v>
      </c>
      <c r="CG117" s="49"/>
      <c r="CH117" s="49"/>
      <c r="CI117" s="51">
        <f>I117+J117+K117+L117+N117+P117+Q117+W117+X117+AA117+AB117+AC117+AD117+AH117+BA117+BB117+BC117+BE117+BF117+BH117+BO117+BP117+BQ117+BX117+BV117+BG117+BU117+AP117+BW117+O117+M117+AV117+AY117+AZ117</f>
        <v>37683500</v>
      </c>
      <c r="CJ117" s="81"/>
      <c r="CK117" s="367"/>
      <c r="CL117" s="367"/>
      <c r="CM117" s="81"/>
      <c r="CN117" s="367"/>
      <c r="CO117" s="367"/>
      <c r="CP117" s="1486"/>
      <c r="CQ117" s="1486"/>
      <c r="CR117" s="367"/>
      <c r="CS117" s="36"/>
      <c r="CT117" s="1485"/>
      <c r="CU117" s="1485">
        <f t="shared" si="37"/>
        <v>0</v>
      </c>
      <c r="CV117" s="36"/>
      <c r="CW117" s="36"/>
      <c r="CX117" s="36"/>
      <c r="CY117" s="36"/>
      <c r="CZ117" s="36"/>
    </row>
    <row r="118" spans="1:104" ht="19.5" customHeight="1">
      <c r="A118" s="465" t="s">
        <v>994</v>
      </c>
      <c r="B118" s="466" t="s">
        <v>1004</v>
      </c>
      <c r="C118" s="466"/>
      <c r="D118" s="934">
        <f t="shared" ref="D118:L118" si="50">SUM(D114:D117)</f>
        <v>359000</v>
      </c>
      <c r="E118" s="934">
        <f t="shared" si="50"/>
        <v>6019783</v>
      </c>
      <c r="F118" s="934">
        <f t="shared" si="50"/>
        <v>25729251</v>
      </c>
      <c r="G118" s="934">
        <f t="shared" si="50"/>
        <v>12819365</v>
      </c>
      <c r="H118" s="934">
        <f>SUM(H114:H117)</f>
        <v>44927399</v>
      </c>
      <c r="I118" s="934">
        <f t="shared" si="50"/>
        <v>359152300</v>
      </c>
      <c r="J118" s="934">
        <f t="shared" si="50"/>
        <v>847599300</v>
      </c>
      <c r="K118" s="934">
        <f t="shared" si="50"/>
        <v>227953600</v>
      </c>
      <c r="L118" s="934">
        <f t="shared" si="50"/>
        <v>2193248600</v>
      </c>
      <c r="M118" s="934">
        <f t="shared" ref="M118:AI118" si="51">SUM(M114:M117)</f>
        <v>0</v>
      </c>
      <c r="N118" s="934">
        <f t="shared" si="51"/>
        <v>0</v>
      </c>
      <c r="O118" s="934">
        <f t="shared" si="51"/>
        <v>0</v>
      </c>
      <c r="P118" s="934">
        <f t="shared" si="51"/>
        <v>44476200</v>
      </c>
      <c r="Q118" s="934">
        <f t="shared" si="51"/>
        <v>31922251</v>
      </c>
      <c r="R118" s="934">
        <f t="shared" si="51"/>
        <v>26340500</v>
      </c>
      <c r="S118" s="934">
        <f>SUM(S114:S117)</f>
        <v>2258700</v>
      </c>
      <c r="T118" s="934">
        <f>SUM(T114:T117)</f>
        <v>3323051</v>
      </c>
      <c r="U118" s="934">
        <f>SUM(U114:U117)</f>
        <v>1268551</v>
      </c>
      <c r="V118" s="934">
        <f>SUM(V114:V117)</f>
        <v>2054500</v>
      </c>
      <c r="W118" s="1299">
        <f t="shared" si="51"/>
        <v>5487001.8200000003</v>
      </c>
      <c r="X118" s="934">
        <f>SUM(X114:X117)</f>
        <v>27917000</v>
      </c>
      <c r="Y118" s="934">
        <f t="shared" si="51"/>
        <v>2121200</v>
      </c>
      <c r="Z118" s="934">
        <f t="shared" si="51"/>
        <v>25795800</v>
      </c>
      <c r="AA118" s="934">
        <f t="shared" si="51"/>
        <v>7965800</v>
      </c>
      <c r="AB118" s="934">
        <f t="shared" si="51"/>
        <v>0</v>
      </c>
      <c r="AC118" s="934">
        <f t="shared" si="51"/>
        <v>0</v>
      </c>
      <c r="AD118" s="934">
        <f t="shared" si="51"/>
        <v>35781400</v>
      </c>
      <c r="AE118" s="934">
        <f t="shared" si="51"/>
        <v>30182000</v>
      </c>
      <c r="AF118" s="934">
        <f t="shared" si="51"/>
        <v>956400</v>
      </c>
      <c r="AG118" s="934">
        <f t="shared" si="51"/>
        <v>4643000</v>
      </c>
      <c r="AH118" s="934">
        <f>SUM(AH114:AH117)</f>
        <v>16163200</v>
      </c>
      <c r="AI118" s="934">
        <f t="shared" si="51"/>
        <v>9952900</v>
      </c>
      <c r="AJ118" s="934">
        <f t="shared" ref="AJ118:BH118" si="52">SUM(AJ114:AJ117)</f>
        <v>3229700</v>
      </c>
      <c r="AK118" s="934">
        <f t="shared" si="52"/>
        <v>558000</v>
      </c>
      <c r="AL118" s="934">
        <f t="shared" si="52"/>
        <v>1155000</v>
      </c>
      <c r="AM118" s="934">
        <f t="shared" si="52"/>
        <v>630000</v>
      </c>
      <c r="AN118" s="934">
        <f t="shared" si="52"/>
        <v>437600</v>
      </c>
      <c r="AO118" s="934">
        <f t="shared" si="52"/>
        <v>200000</v>
      </c>
      <c r="AP118" s="934">
        <f t="shared" si="52"/>
        <v>43918030</v>
      </c>
      <c r="AQ118" s="934">
        <f t="shared" si="52"/>
        <v>8819905</v>
      </c>
      <c r="AR118" s="934">
        <f t="shared" si="52"/>
        <v>14227470</v>
      </c>
      <c r="AS118" s="934">
        <f t="shared" si="52"/>
        <v>12332255</v>
      </c>
      <c r="AT118" s="934">
        <f t="shared" si="52"/>
        <v>568400</v>
      </c>
      <c r="AU118" s="934">
        <f t="shared" si="52"/>
        <v>7970000</v>
      </c>
      <c r="AV118" s="934">
        <f t="shared" si="52"/>
        <v>43113400</v>
      </c>
      <c r="AW118" s="934">
        <f t="shared" si="52"/>
        <v>33391200</v>
      </c>
      <c r="AX118" s="934">
        <f t="shared" si="52"/>
        <v>9722200</v>
      </c>
      <c r="AY118" s="1299">
        <f t="shared" si="52"/>
        <v>15703771.890000001</v>
      </c>
      <c r="AZ118" s="1299">
        <f t="shared" si="52"/>
        <v>938511</v>
      </c>
      <c r="BA118" s="1299">
        <f t="shared" si="52"/>
        <v>11534501.18</v>
      </c>
      <c r="BB118" s="1299">
        <f t="shared" si="52"/>
        <v>1239284</v>
      </c>
      <c r="BC118" s="934">
        <f t="shared" si="52"/>
        <v>1321180</v>
      </c>
      <c r="BD118" s="934">
        <f t="shared" si="52"/>
        <v>4280</v>
      </c>
      <c r="BE118" s="934">
        <f t="shared" si="52"/>
        <v>6918675</v>
      </c>
      <c r="BF118" s="934">
        <f t="shared" si="52"/>
        <v>0</v>
      </c>
      <c r="BG118" s="934">
        <f t="shared" si="52"/>
        <v>17899300</v>
      </c>
      <c r="BH118" s="934">
        <f t="shared" si="52"/>
        <v>38656280</v>
      </c>
      <c r="BI118" s="934">
        <f t="shared" ref="BI118:BN118" si="53">SUM(BI114:BI117)</f>
        <v>5704348</v>
      </c>
      <c r="BJ118" s="934">
        <f t="shared" si="53"/>
        <v>8621432</v>
      </c>
      <c r="BK118" s="934">
        <f t="shared" si="53"/>
        <v>13830100</v>
      </c>
      <c r="BL118" s="934">
        <f>SUM(BL114:BL117)</f>
        <v>0</v>
      </c>
      <c r="BM118" s="934">
        <f t="shared" si="53"/>
        <v>10500400</v>
      </c>
      <c r="BN118" s="934">
        <f t="shared" si="53"/>
        <v>0</v>
      </c>
      <c r="BO118" s="934">
        <f t="shared" ref="BO118:CH118" si="54">SUM(BO114:BO117)</f>
        <v>2747835</v>
      </c>
      <c r="BP118" s="934">
        <f t="shared" si="54"/>
        <v>0</v>
      </c>
      <c r="BQ118" s="934">
        <f t="shared" si="54"/>
        <v>0</v>
      </c>
      <c r="BR118" s="934">
        <f t="shared" si="54"/>
        <v>0</v>
      </c>
      <c r="BS118" s="934">
        <f t="shared" si="54"/>
        <v>0</v>
      </c>
      <c r="BT118" s="934">
        <f t="shared" si="54"/>
        <v>0</v>
      </c>
      <c r="BU118" s="934">
        <f t="shared" si="54"/>
        <v>5102200</v>
      </c>
      <c r="BV118" s="934">
        <f t="shared" si="54"/>
        <v>0</v>
      </c>
      <c r="BW118" s="934">
        <f t="shared" si="54"/>
        <v>2208000</v>
      </c>
      <c r="BX118" s="934">
        <f t="shared" si="54"/>
        <v>22958727</v>
      </c>
      <c r="BY118" s="934">
        <f t="shared" si="54"/>
        <v>4597602</v>
      </c>
      <c r="BZ118" s="1300">
        <f t="shared" si="54"/>
        <v>12798947</v>
      </c>
      <c r="CA118" s="1300">
        <f t="shared" si="54"/>
        <v>1000000</v>
      </c>
      <c r="CB118" s="934">
        <f t="shared" si="54"/>
        <v>1217178</v>
      </c>
      <c r="CC118" s="934">
        <f t="shared" si="54"/>
        <v>0</v>
      </c>
      <c r="CD118" s="934">
        <f t="shared" si="54"/>
        <v>0</v>
      </c>
      <c r="CE118" s="934">
        <f t="shared" si="54"/>
        <v>450000</v>
      </c>
      <c r="CF118" s="934">
        <f t="shared" si="54"/>
        <v>2895000</v>
      </c>
      <c r="CG118" s="934">
        <f t="shared" si="54"/>
        <v>125000</v>
      </c>
      <c r="CH118" s="934">
        <f t="shared" si="54"/>
        <v>2770000</v>
      </c>
      <c r="CI118" s="79">
        <f>I118+J118+K118+L118+N118+P118+Q118+W118+X118+AA118+AB118+AC118+AD118+AH118+BA118+BB118+BC118+BE118+BF118+BH118+BO118+BP118+BQ118+BX118+BV118+BG118+BU118+AP118+BW118+O118+M118+AV118+AY118+AZ118</f>
        <v>4011926347.8899999</v>
      </c>
      <c r="CJ118" s="366"/>
      <c r="CK118" s="367"/>
      <c r="CL118" s="367"/>
      <c r="CM118" s="366"/>
      <c r="CN118" s="367"/>
      <c r="CO118" s="367"/>
      <c r="CP118" s="1487"/>
      <c r="CQ118" s="1486"/>
      <c r="CR118" s="367"/>
      <c r="CS118" s="36"/>
      <c r="CT118" s="1485"/>
      <c r="CU118" s="1485">
        <f t="shared" si="37"/>
        <v>0</v>
      </c>
      <c r="CV118" s="36"/>
      <c r="CW118" s="36"/>
      <c r="CX118" s="36"/>
      <c r="CY118" s="36"/>
      <c r="CZ118" s="36"/>
    </row>
    <row r="119" spans="1:104" ht="19.5" customHeight="1">
      <c r="A119" s="361"/>
      <c r="B119" s="362"/>
      <c r="C119" s="362"/>
      <c r="D119" s="362"/>
      <c r="E119" s="362"/>
      <c r="F119" s="1196"/>
      <c r="G119" s="1196"/>
      <c r="H119" s="1196"/>
      <c r="I119" s="223"/>
      <c r="J119" s="223"/>
      <c r="K119" s="223"/>
      <c r="L119" s="223"/>
      <c r="M119" s="223"/>
      <c r="N119" s="223"/>
      <c r="O119" s="223"/>
      <c r="P119" s="223"/>
      <c r="Q119" s="363"/>
      <c r="R119" s="363"/>
      <c r="S119" s="363"/>
      <c r="T119" s="363"/>
      <c r="U119" s="363"/>
      <c r="V119" s="36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363"/>
      <c r="BC119" s="223"/>
      <c r="BD119" s="223"/>
      <c r="BE119" s="223"/>
      <c r="BF119" s="223"/>
      <c r="BG119" s="223"/>
      <c r="BH119" s="223"/>
      <c r="BI119" s="364"/>
      <c r="BJ119" s="364"/>
      <c r="BK119" s="223"/>
      <c r="BL119" s="223"/>
      <c r="BM119" s="223"/>
      <c r="BN119" s="223"/>
      <c r="BO119" s="223"/>
      <c r="BP119" s="223"/>
      <c r="BQ119" s="363"/>
      <c r="BR119" s="363"/>
      <c r="BS119" s="363"/>
      <c r="BT119" s="223"/>
      <c r="BU119" s="223"/>
      <c r="BV119" s="223"/>
      <c r="BW119" s="223"/>
      <c r="BX119" s="223"/>
      <c r="BY119" s="364"/>
      <c r="BZ119" s="364"/>
      <c r="CA119" s="364"/>
      <c r="CB119" s="364"/>
      <c r="CC119" s="364"/>
      <c r="CD119" s="364"/>
      <c r="CE119" s="223"/>
      <c r="CF119" s="223"/>
      <c r="CG119" s="223"/>
      <c r="CH119" s="223"/>
      <c r="CI119" s="366"/>
      <c r="CJ119" s="365"/>
      <c r="CK119" s="367"/>
      <c r="CL119" s="367"/>
      <c r="CM119" s="365"/>
      <c r="CN119" s="367"/>
      <c r="CO119" s="367"/>
      <c r="CP119" s="1487"/>
      <c r="CQ119" s="1486"/>
      <c r="CR119" s="367"/>
      <c r="CS119" s="36"/>
      <c r="CT119" s="36"/>
      <c r="CU119" s="36"/>
      <c r="CV119" s="36"/>
      <c r="CW119" s="36"/>
      <c r="CX119" s="36"/>
      <c r="CY119" s="36"/>
      <c r="CZ119" s="36"/>
    </row>
    <row r="120" spans="1:104" ht="19.5" customHeight="1">
      <c r="A120" s="361"/>
      <c r="B120" s="362"/>
      <c r="C120" s="362"/>
      <c r="D120" s="362"/>
      <c r="E120" s="362"/>
      <c r="F120" s="1196"/>
      <c r="G120" s="1196"/>
      <c r="H120" s="1196"/>
      <c r="I120" s="223"/>
      <c r="J120" s="223"/>
      <c r="K120" s="223"/>
      <c r="L120" s="223"/>
      <c r="M120" s="223"/>
      <c r="N120" s="223"/>
      <c r="O120" s="223"/>
      <c r="P120" s="223"/>
      <c r="Q120" s="363"/>
      <c r="R120" s="363"/>
      <c r="S120" s="363"/>
      <c r="T120" s="363"/>
      <c r="U120" s="363"/>
      <c r="V120" s="36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363"/>
      <c r="BC120" s="223"/>
      <c r="BD120" s="223"/>
      <c r="BE120" s="223"/>
      <c r="BF120" s="223"/>
      <c r="BG120" s="223"/>
      <c r="BH120" s="223"/>
      <c r="BI120" s="364"/>
      <c r="BJ120" s="364"/>
      <c r="BK120" s="223"/>
      <c r="BL120" s="223"/>
      <c r="BM120" s="223"/>
      <c r="BN120" s="223"/>
      <c r="BO120" s="223"/>
      <c r="BP120" s="223"/>
      <c r="BQ120" s="363"/>
      <c r="BR120" s="363"/>
      <c r="BS120" s="363"/>
      <c r="BT120" s="223"/>
      <c r="BU120" s="223"/>
      <c r="BV120" s="223"/>
      <c r="BW120" s="223"/>
      <c r="BX120" s="223"/>
      <c r="BY120" s="364"/>
      <c r="BZ120" s="364"/>
      <c r="CA120" s="364"/>
      <c r="CB120" s="364"/>
      <c r="CC120" s="364"/>
      <c r="CD120" s="364"/>
      <c r="CE120" s="223"/>
      <c r="CF120" s="223"/>
      <c r="CG120" s="223"/>
      <c r="CH120" s="223"/>
      <c r="CI120" s="366"/>
      <c r="CJ120" s="365"/>
      <c r="CK120" s="367"/>
      <c r="CL120" s="367"/>
      <c r="CM120" s="365"/>
      <c r="CN120" s="367"/>
      <c r="CO120" s="367"/>
      <c r="CP120" s="1487"/>
      <c r="CQ120" s="1486"/>
      <c r="CR120" s="367"/>
      <c r="CS120" s="36"/>
      <c r="CT120" s="36"/>
      <c r="CU120" s="36"/>
      <c r="CV120" s="36"/>
      <c r="CW120" s="36"/>
      <c r="CX120" s="36"/>
      <c r="CY120" s="36"/>
      <c r="CZ120" s="36"/>
    </row>
    <row r="121" spans="1:104" ht="50.45" customHeight="1">
      <c r="A121" s="361"/>
      <c r="B121" s="362"/>
      <c r="C121" s="362"/>
      <c r="D121" s="362"/>
      <c r="E121" s="362"/>
      <c r="F121" s="362"/>
      <c r="G121" s="362"/>
      <c r="H121" s="362"/>
      <c r="I121" s="223"/>
      <c r="J121" s="223"/>
      <c r="K121" s="223"/>
      <c r="L121" s="223"/>
      <c r="M121" s="223"/>
      <c r="N121" s="223"/>
      <c r="O121" s="223"/>
      <c r="P121" s="223"/>
      <c r="Q121" s="363"/>
      <c r="R121" s="363"/>
      <c r="S121" s="363"/>
      <c r="T121" s="363"/>
      <c r="U121" s="363"/>
      <c r="V121" s="36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363"/>
      <c r="BC121" s="223"/>
      <c r="BD121" s="223"/>
      <c r="BE121" s="223"/>
      <c r="BF121" s="223"/>
      <c r="BG121" s="223"/>
      <c r="BH121" s="223"/>
      <c r="BI121" s="364"/>
      <c r="BJ121" s="364"/>
      <c r="BK121" s="223"/>
      <c r="BL121" s="223"/>
      <c r="BM121" s="223"/>
      <c r="BN121" s="223"/>
      <c r="BO121" s="223"/>
      <c r="BP121" s="223"/>
      <c r="BQ121" s="363"/>
      <c r="BR121" s="363"/>
      <c r="BS121" s="363"/>
      <c r="BT121" s="223"/>
      <c r="BU121" s="223"/>
      <c r="BV121" s="223"/>
      <c r="BW121" s="223"/>
      <c r="BX121" s="223"/>
      <c r="BY121" s="364"/>
      <c r="CA121" s="1126"/>
      <c r="CB121" s="599"/>
      <c r="CF121" s="1658" t="s">
        <v>211</v>
      </c>
      <c r="CG121" s="1658"/>
      <c r="CH121" s="1658"/>
      <c r="CI121" s="1127" t="s">
        <v>946</v>
      </c>
      <c r="CJ121" s="365"/>
      <c r="CK121" s="367"/>
      <c r="CL121" s="367"/>
      <c r="CM121" s="365"/>
      <c r="CN121" s="367"/>
      <c r="CO121" s="367"/>
      <c r="CP121" s="1487"/>
      <c r="CQ121" s="1486"/>
      <c r="CR121" s="367"/>
      <c r="CS121" s="36"/>
      <c r="CT121" s="36"/>
      <c r="CU121" s="36"/>
      <c r="CV121" s="36"/>
      <c r="CW121" s="36"/>
      <c r="CX121" s="36"/>
      <c r="CY121" s="36"/>
      <c r="CZ121" s="36"/>
    </row>
    <row r="122" spans="1:104" ht="19.5" customHeight="1">
      <c r="A122" s="361"/>
      <c r="B122" s="362"/>
      <c r="C122" s="362"/>
      <c r="D122" s="362"/>
      <c r="E122" s="362"/>
      <c r="F122" s="1201">
        <f>F118-'дод1.1'!E156</f>
        <v>0</v>
      </c>
      <c r="G122" s="362"/>
      <c r="H122" s="362"/>
      <c r="I122" s="223"/>
      <c r="J122" s="223"/>
      <c r="K122" s="223"/>
      <c r="L122" s="223"/>
      <c r="M122" s="223"/>
      <c r="N122" s="223"/>
      <c r="O122" s="223"/>
      <c r="P122" s="223"/>
      <c r="Q122" s="363"/>
      <c r="R122" s="363"/>
      <c r="S122" s="363"/>
      <c r="T122" s="363"/>
      <c r="U122" s="363"/>
      <c r="V122" s="36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363"/>
      <c r="BC122" s="223"/>
      <c r="BD122" s="223"/>
      <c r="BE122" s="223"/>
      <c r="BF122" s="223"/>
      <c r="BG122" s="223"/>
      <c r="BH122" s="1301"/>
      <c r="BI122" s="1302"/>
      <c r="BJ122" s="1302"/>
      <c r="BK122" s="223"/>
      <c r="BL122" s="223"/>
      <c r="BM122" s="223"/>
      <c r="BN122" s="223"/>
      <c r="BO122" s="223"/>
      <c r="BP122" s="223"/>
      <c r="BQ122" s="363"/>
      <c r="BR122" s="363"/>
      <c r="BS122" s="363"/>
      <c r="BT122" s="223"/>
      <c r="BU122" s="223"/>
      <c r="BV122" s="223"/>
      <c r="BW122" s="223"/>
      <c r="BX122" s="1301"/>
      <c r="BY122" s="364"/>
      <c r="BZ122" s="364"/>
      <c r="CA122" s="364"/>
      <c r="CB122" s="364"/>
      <c r="CC122" s="364"/>
      <c r="CD122" s="364"/>
      <c r="CE122" s="223"/>
      <c r="CF122" s="223"/>
      <c r="CG122" s="223"/>
      <c r="CH122" s="223"/>
      <c r="CI122" s="366"/>
      <c r="CJ122" s="365"/>
      <c r="CK122" s="367"/>
      <c r="CL122" s="367"/>
      <c r="CM122" s="365"/>
      <c r="CN122" s="367"/>
      <c r="CO122" s="367"/>
      <c r="CP122" s="1487"/>
      <c r="CQ122" s="1486"/>
      <c r="CR122" s="367"/>
      <c r="CS122" s="36"/>
      <c r="CT122" s="36"/>
      <c r="CU122" s="36"/>
      <c r="CV122" s="36"/>
      <c r="CW122" s="36"/>
      <c r="CX122" s="36"/>
      <c r="CY122" s="36"/>
      <c r="CZ122" s="36"/>
    </row>
    <row r="123" spans="1:104" ht="20.45" customHeight="1">
      <c r="A123" s="36"/>
      <c r="B123" s="36"/>
      <c r="C123" s="36"/>
      <c r="D123" s="36"/>
      <c r="E123" s="36"/>
      <c r="F123" s="36"/>
      <c r="G123" s="36"/>
      <c r="H123" s="36"/>
      <c r="I123" s="28"/>
      <c r="J123" s="26"/>
      <c r="K123" s="26"/>
      <c r="L123" s="28"/>
      <c r="M123" s="28"/>
      <c r="N123" s="26"/>
      <c r="O123" s="26"/>
      <c r="P123" s="26"/>
      <c r="Q123" s="368"/>
      <c r="R123" s="368"/>
      <c r="S123" s="368"/>
      <c r="T123" s="368"/>
      <c r="U123" s="368"/>
      <c r="V123" s="368"/>
      <c r="W123" s="28"/>
      <c r="X123" s="26"/>
      <c r="Y123" s="26"/>
      <c r="Z123" s="26"/>
      <c r="AA123" s="26"/>
      <c r="AB123" s="26"/>
      <c r="AC123" s="26"/>
      <c r="AD123" s="28"/>
      <c r="AE123" s="28"/>
      <c r="AF123" s="28"/>
      <c r="AG123" s="28"/>
      <c r="AH123" s="26"/>
      <c r="AI123" s="26"/>
      <c r="AJ123" s="26"/>
      <c r="AK123" s="26"/>
      <c r="AL123" s="26"/>
      <c r="AM123" s="26"/>
      <c r="AN123" s="26"/>
      <c r="AO123" s="26"/>
      <c r="AP123" s="26"/>
      <c r="AQ123" s="26"/>
      <c r="AR123" s="26"/>
      <c r="AS123" s="26"/>
      <c r="AT123" s="26"/>
      <c r="AU123" s="26"/>
      <c r="AV123" s="26"/>
      <c r="AW123" s="26"/>
      <c r="AX123" s="26"/>
      <c r="AY123" s="26"/>
      <c r="AZ123" s="26"/>
      <c r="BA123" s="26"/>
      <c r="BB123" s="356"/>
      <c r="BC123" s="26"/>
      <c r="BD123" s="26"/>
      <c r="BE123" s="77"/>
      <c r="BF123" s="26"/>
      <c r="BG123" s="368"/>
      <c r="BH123" s="1303"/>
      <c r="BI123" s="1304"/>
      <c r="BJ123" s="1305"/>
      <c r="BK123" s="32"/>
      <c r="BL123" s="32"/>
      <c r="BM123" s="32"/>
      <c r="BN123" s="32"/>
      <c r="BO123" s="52"/>
      <c r="BP123" s="53"/>
      <c r="BQ123" s="368"/>
      <c r="BR123" s="368"/>
      <c r="BS123" s="368"/>
      <c r="BT123" s="368"/>
      <c r="BU123" s="368"/>
      <c r="BV123" s="368"/>
      <c r="BW123" s="368"/>
      <c r="BX123" s="1303"/>
      <c r="BY123" s="1306"/>
      <c r="BZ123" s="1307"/>
      <c r="CA123" s="250"/>
      <c r="CB123" s="250"/>
      <c r="CC123" s="250"/>
      <c r="CD123" s="250"/>
      <c r="CE123" s="798"/>
      <c r="CF123" s="52"/>
      <c r="CG123" s="52"/>
      <c r="CH123" s="52"/>
      <c r="CI123" s="81"/>
      <c r="CJ123" s="36"/>
      <c r="CK123" s="1483"/>
      <c r="CL123" s="1483"/>
      <c r="CM123" s="36"/>
      <c r="CN123" s="1483"/>
      <c r="CO123" s="1483"/>
      <c r="CP123" s="1485"/>
      <c r="CQ123" s="36"/>
      <c r="CR123" s="1483"/>
      <c r="CS123" s="36"/>
      <c r="CT123" s="36"/>
      <c r="CU123" s="36"/>
      <c r="CV123" s="36"/>
      <c r="CW123" s="36"/>
      <c r="CX123" s="36"/>
      <c r="CY123" s="36"/>
      <c r="CZ123" s="36"/>
    </row>
    <row r="124" spans="1:104" ht="51.75">
      <c r="A124" s="36"/>
      <c r="B124" s="27"/>
      <c r="C124" s="27"/>
      <c r="D124" s="27"/>
      <c r="E124" s="27"/>
      <c r="F124" s="27"/>
      <c r="G124" s="27"/>
      <c r="H124" s="27"/>
      <c r="I124" s="28"/>
      <c r="J124" s="26"/>
      <c r="K124" s="26"/>
      <c r="L124" s="28"/>
      <c r="M124" s="28"/>
      <c r="N124" s="26"/>
      <c r="O124" s="26"/>
      <c r="P124" s="36"/>
      <c r="Q124" s="1308"/>
      <c r="R124" s="1308"/>
      <c r="S124" s="1308"/>
      <c r="T124" s="1308"/>
      <c r="U124" s="1308"/>
      <c r="V124" s="1308"/>
      <c r="W124" s="28"/>
      <c r="X124" s="26"/>
      <c r="Y124" s="26"/>
      <c r="Z124" s="26"/>
      <c r="AA124" s="26"/>
      <c r="AB124" s="26"/>
      <c r="AC124" s="26"/>
      <c r="AD124" s="28"/>
      <c r="AE124" s="28"/>
      <c r="AF124" s="28"/>
      <c r="AG124" s="28"/>
      <c r="AH124" s="26"/>
      <c r="AI124" s="26"/>
      <c r="AJ124" s="26"/>
      <c r="AK124" s="26"/>
      <c r="AL124" s="26"/>
      <c r="AM124" s="26"/>
      <c r="AN124" s="26"/>
      <c r="AO124" s="26"/>
      <c r="AP124" s="26"/>
      <c r="AQ124" s="26"/>
      <c r="AR124" s="26"/>
      <c r="AS124" s="26"/>
      <c r="AT124" s="26"/>
      <c r="AU124" s="26"/>
      <c r="AV124" s="26"/>
      <c r="AW124" s="26"/>
      <c r="AX124" s="26"/>
      <c r="AY124" s="26"/>
      <c r="AZ124" s="26"/>
      <c r="BA124" s="26"/>
      <c r="BB124" s="356"/>
      <c r="BC124" s="26"/>
      <c r="BD124" s="26"/>
      <c r="BE124" s="27"/>
      <c r="BF124" s="26"/>
      <c r="BG124" s="1308"/>
      <c r="BH124" s="1304" t="s">
        <v>952</v>
      </c>
      <c r="BI124" s="1304">
        <f>BI122-BI123</f>
        <v>0</v>
      </c>
      <c r="BJ124" s="1304">
        <f>BJ122-BJ123</f>
        <v>0</v>
      </c>
      <c r="BK124" s="36"/>
      <c r="BL124" s="36"/>
      <c r="BM124" s="36"/>
      <c r="BN124" s="36"/>
      <c r="BO124" s="36"/>
      <c r="BP124" s="36"/>
      <c r="BQ124" s="1308"/>
      <c r="BR124" s="1308"/>
      <c r="BS124" s="1308"/>
      <c r="BT124" s="1308"/>
      <c r="BU124" s="1308"/>
      <c r="BV124" s="1308"/>
      <c r="BW124" s="1308"/>
      <c r="BX124" s="1309"/>
      <c r="BY124" s="1306">
        <f>BY122-BY123</f>
        <v>0</v>
      </c>
      <c r="BZ124" s="1306">
        <f>BZ122-BZ123</f>
        <v>0</v>
      </c>
      <c r="CA124" s="250"/>
      <c r="CB124" s="333"/>
      <c r="CC124" s="333"/>
      <c r="CD124" s="333"/>
      <c r="CJ124" s="36"/>
      <c r="CK124" s="367"/>
      <c r="CL124" s="367"/>
      <c r="CM124" s="36"/>
      <c r="CN124" s="367"/>
      <c r="CO124" s="367"/>
      <c r="CP124" s="1485"/>
      <c r="CQ124" s="36"/>
      <c r="CR124" s="367"/>
      <c r="CS124" s="36"/>
      <c r="CT124" s="36"/>
      <c r="CU124" s="36"/>
      <c r="CV124" s="36"/>
      <c r="CW124" s="36"/>
      <c r="CX124" s="36"/>
      <c r="CY124" s="36"/>
      <c r="CZ124" s="36"/>
    </row>
    <row r="125" spans="1:104" ht="36" customHeight="1">
      <c r="B125" s="27"/>
      <c r="C125" s="27"/>
      <c r="D125" s="1310"/>
      <c r="E125" s="27"/>
      <c r="F125" s="77"/>
      <c r="G125" s="77"/>
      <c r="H125" s="27"/>
      <c r="I125" s="26"/>
      <c r="J125" s="26"/>
      <c r="K125" s="26" t="b">
        <f>K118=K114</f>
        <v>1</v>
      </c>
      <c r="L125" s="26" t="b">
        <f>L118=L114</f>
        <v>1</v>
      </c>
      <c r="M125" s="26"/>
      <c r="N125" s="26">
        <f>N118-N114</f>
        <v>0</v>
      </c>
      <c r="O125" s="26"/>
      <c r="P125" s="26" t="b">
        <f>P118=P114</f>
        <v>1</v>
      </c>
      <c r="Q125" s="26" t="b">
        <f>Q118=Q114+Q117</f>
        <v>1</v>
      </c>
      <c r="R125" s="26"/>
      <c r="S125" s="26"/>
      <c r="T125" s="26"/>
      <c r="U125" s="26"/>
      <c r="V125" s="26"/>
      <c r="W125" s="26">
        <f>W118-дод3!E73</f>
        <v>0</v>
      </c>
      <c r="X125" s="26" t="b">
        <f>X118=дод3!F72</f>
        <v>1</v>
      </c>
      <c r="Y125" s="26"/>
      <c r="Z125" s="26"/>
      <c r="AA125" s="26" t="b">
        <f>AA118=дод3!E74</f>
        <v>1</v>
      </c>
      <c r="AB125" s="26" t="b">
        <f>AB118=AB114</f>
        <v>1</v>
      </c>
      <c r="AC125" s="26" t="b">
        <f>AC118=AC114</f>
        <v>1</v>
      </c>
      <c r="AD125" s="26" t="b">
        <f>AD118=дод3!E44</f>
        <v>1</v>
      </c>
      <c r="AE125" s="26"/>
      <c r="AF125" s="26"/>
      <c r="AG125" s="26"/>
      <c r="AH125" s="26" t="b">
        <f>AH118=дод3!E46</f>
        <v>1</v>
      </c>
      <c r="AI125" s="26"/>
      <c r="AJ125" s="26"/>
      <c r="AK125" s="26"/>
      <c r="AL125" s="26"/>
      <c r="AM125" s="26"/>
      <c r="AN125" s="26"/>
      <c r="AO125" s="26"/>
      <c r="AP125" s="26"/>
      <c r="AQ125" s="26"/>
      <c r="AR125" s="26"/>
      <c r="AS125" s="26"/>
      <c r="AT125" s="26"/>
      <c r="AU125" s="26"/>
      <c r="AV125" s="26"/>
      <c r="AW125" s="26"/>
      <c r="AX125" s="26"/>
      <c r="AY125" s="26"/>
      <c r="AZ125" s="26"/>
      <c r="BA125" s="26" t="b">
        <f>BA118=BA114</f>
        <v>1</v>
      </c>
      <c r="BB125" s="356"/>
      <c r="BC125" s="26" t="b">
        <f>BC118=дод3!E249</f>
        <v>1</v>
      </c>
      <c r="BD125" s="26">
        <f>BD118-BD114</f>
        <v>0</v>
      </c>
      <c r="BE125" s="26" t="b">
        <f>BE118=BE114+BE115</f>
        <v>1</v>
      </c>
      <c r="BF125" s="26" t="b">
        <f>BF118=BF114</f>
        <v>1</v>
      </c>
      <c r="BG125" s="26" t="b">
        <f>BG118=дод3!E110</f>
        <v>1</v>
      </c>
      <c r="BH125" s="28">
        <f>BH118-BH114</f>
        <v>0</v>
      </c>
      <c r="BI125" s="28"/>
      <c r="BJ125" s="28"/>
      <c r="BK125" s="26"/>
      <c r="BL125" s="26"/>
      <c r="BM125" s="26"/>
      <c r="BN125" s="26"/>
      <c r="BO125" s="26"/>
      <c r="BP125" s="26"/>
      <c r="BQ125" s="26"/>
      <c r="BR125" s="26"/>
      <c r="BS125" s="26"/>
      <c r="BT125" s="26"/>
      <c r="BU125" s="26"/>
      <c r="BV125" s="26"/>
      <c r="BW125" s="26"/>
      <c r="BX125" s="28"/>
      <c r="BY125" s="28"/>
      <c r="BZ125" s="26">
        <f>BZ118-BZ114</f>
        <v>0</v>
      </c>
      <c r="CA125" s="28"/>
      <c r="CB125" s="26">
        <f>CB118-CB114</f>
        <v>0</v>
      </c>
      <c r="CC125" s="28">
        <f>CC118-CC114</f>
        <v>0</v>
      </c>
      <c r="CD125" s="28"/>
      <c r="CE125" s="26">
        <f>CE118-CE114</f>
        <v>450000</v>
      </c>
      <c r="CF125" s="26" t="b">
        <f>CF118=CF114</f>
        <v>1</v>
      </c>
      <c r="CG125" s="26" t="b">
        <f>CG118=CG114</f>
        <v>1</v>
      </c>
      <c r="CH125" s="26" t="b">
        <f>CH118=CH114</f>
        <v>1</v>
      </c>
      <c r="CI125" s="1311">
        <f>дод3!Q23+дод3!Q24+дод3!Q29+дод3!Q44+дод3!Q45+дод3!Q46+дод3!Q49+дод3!Q72+дод3!Q73+дод3!Q74+дод3!Q75+дод3!Q101+дод3!Q104+дод3!Q111+дод3!Q110+дод3!Q230+дод3!Q239+дод3!Q240+дод3!Q241+дод3!Q242+дод3!Q243+дод3!Q244+дод3!Q245+дод3!Q246+дод3!Q247+дод3!Q248+дод3!Q249+дод3!Q250+дод3!Q252+дод3!Q251+дод3!J207+дод3!Q99+дод3!Q47+дод3!Q100+дод3!Q48</f>
        <v>3987535537.8199997</v>
      </c>
      <c r="CJ125" s="36"/>
      <c r="CK125" s="1488"/>
      <c r="CL125" s="1488"/>
      <c r="CM125" s="1485"/>
      <c r="CN125" s="1483"/>
      <c r="CO125" s="1483"/>
      <c r="CP125" s="36"/>
      <c r="CQ125" s="36"/>
      <c r="CR125" s="1483"/>
      <c r="CS125" s="36"/>
      <c r="CT125" s="36"/>
      <c r="CU125" s="36"/>
      <c r="CV125" s="36"/>
      <c r="CW125" s="36"/>
      <c r="CX125" s="36"/>
      <c r="CY125" s="36"/>
      <c r="CZ125" s="36"/>
    </row>
    <row r="126" spans="1:104" ht="23.25" customHeight="1">
      <c r="B126" s="27"/>
      <c r="C126" s="27"/>
      <c r="D126" s="1310"/>
      <c r="E126" s="27"/>
      <c r="F126" s="77"/>
      <c r="G126" s="27"/>
      <c r="H126" s="27"/>
      <c r="I126" s="28"/>
      <c r="J126" s="26"/>
      <c r="K126" s="26" t="b">
        <f>K118=дод3!E242</f>
        <v>1</v>
      </c>
      <c r="L126" s="28">
        <f>L118-дод3!E243</f>
        <v>0</v>
      </c>
      <c r="M126" s="28"/>
      <c r="N126" s="26" t="b">
        <f>N118=дод3!E99</f>
        <v>0</v>
      </c>
      <c r="O126" s="26" t="b">
        <f>O118=дод3!Q101</f>
        <v>0</v>
      </c>
      <c r="P126" s="26" t="b">
        <f>P118=дод3!E245</f>
        <v>0</v>
      </c>
      <c r="Q126" s="69"/>
      <c r="R126" s="69"/>
      <c r="S126" s="69"/>
      <c r="T126" s="69"/>
      <c r="U126" s="69"/>
      <c r="V126" s="69"/>
      <c r="W126" s="28"/>
      <c r="X126" s="26"/>
      <c r="Y126" s="26"/>
      <c r="Z126" s="26"/>
      <c r="AA126" s="26"/>
      <c r="AB126" s="26"/>
      <c r="AC126" s="26"/>
      <c r="AD126" s="28"/>
      <c r="AE126" s="28"/>
      <c r="AF126" s="28"/>
      <c r="AG126" s="28"/>
      <c r="AH126" s="26">
        <f>AH118-дод3!E46</f>
        <v>0</v>
      </c>
      <c r="AI126" s="26"/>
      <c r="AJ126" s="26"/>
      <c r="AK126" s="26"/>
      <c r="AL126" s="26"/>
      <c r="AM126" s="26"/>
      <c r="AN126" s="26"/>
      <c r="AO126" s="26"/>
      <c r="AP126" s="26"/>
      <c r="AQ126" s="26"/>
      <c r="AR126" s="26"/>
      <c r="AS126" s="26"/>
      <c r="AT126" s="26"/>
      <c r="AU126" s="26"/>
      <c r="AV126" s="26"/>
      <c r="AW126" s="26"/>
      <c r="AX126" s="26"/>
      <c r="AY126" s="26"/>
      <c r="AZ126" s="26"/>
      <c r="BA126" s="26" t="b">
        <f>BA118=дод3!E247</f>
        <v>0</v>
      </c>
      <c r="BB126" s="356"/>
      <c r="BC126" s="1312">
        <f>BC118-дод3!Q249</f>
        <v>0</v>
      </c>
      <c r="BD126" s="26"/>
      <c r="BE126" s="26" t="e">
        <f>BE118-#REF!</f>
        <v>#REF!</v>
      </c>
      <c r="BF126" s="26" t="e">
        <f>BF118=#REF!</f>
        <v>#REF!</v>
      </c>
      <c r="BG126" s="69"/>
      <c r="BH126" s="395">
        <f>BH118-(дод3!E23+дод3!E49+дод3!E104+дод3!E111+дод3!E251)</f>
        <v>0</v>
      </c>
      <c r="BO126" s="69"/>
      <c r="BQ126" s="69"/>
      <c r="BR126" s="69"/>
      <c r="BS126" s="69"/>
      <c r="BT126" s="69"/>
      <c r="BU126" s="69"/>
      <c r="BV126" s="69"/>
      <c r="BW126" s="69"/>
      <c r="BX126" s="395"/>
      <c r="CI126" s="1313"/>
      <c r="CJ126" s="36"/>
      <c r="CK126" s="1483"/>
      <c r="CL126" s="1483"/>
      <c r="CM126" s="36"/>
      <c r="CN126" s="1483"/>
      <c r="CO126" s="1483"/>
      <c r="CP126" s="36"/>
      <c r="CQ126" s="36"/>
      <c r="CR126" s="1483"/>
      <c r="CS126" s="36"/>
      <c r="CT126" s="36"/>
      <c r="CU126" s="36"/>
      <c r="CV126" s="36"/>
      <c r="CW126" s="36"/>
      <c r="CX126" s="36"/>
      <c r="CY126" s="36"/>
      <c r="CZ126" s="36"/>
    </row>
    <row r="127" spans="1:104" ht="36" customHeight="1">
      <c r="B127" s="27"/>
      <c r="C127" s="27"/>
      <c r="D127" s="27"/>
      <c r="E127" s="27"/>
      <c r="F127" s="27"/>
      <c r="G127" s="27"/>
      <c r="H127" s="27"/>
      <c r="I127" s="27"/>
      <c r="J127" s="26"/>
      <c r="K127" s="26"/>
      <c r="L127" s="28"/>
      <c r="M127" s="28"/>
      <c r="N127" s="26"/>
      <c r="O127" s="26"/>
      <c r="P127" s="26"/>
      <c r="W127" s="28"/>
      <c r="X127" s="26"/>
      <c r="Y127" s="26"/>
      <c r="Z127" s="26"/>
      <c r="AA127" s="26"/>
      <c r="AB127" s="26"/>
      <c r="AC127" s="26"/>
      <c r="AD127" s="28"/>
      <c r="AE127" s="28"/>
      <c r="AF127" s="28"/>
      <c r="AG127" s="28"/>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7"/>
      <c r="BF127" s="26"/>
      <c r="BJ127" s="254"/>
      <c r="BZ127" s="254"/>
      <c r="CA127" s="304"/>
      <c r="CB127" s="304"/>
      <c r="CI127" s="80"/>
      <c r="CJ127" s="36"/>
      <c r="CK127" s="1483"/>
      <c r="CL127" s="1483"/>
      <c r="CM127" s="36"/>
      <c r="CN127" s="1483"/>
      <c r="CO127" s="1483"/>
      <c r="CP127" s="36"/>
      <c r="CQ127" s="36"/>
      <c r="CR127" s="1483"/>
      <c r="CS127" s="36"/>
      <c r="CT127" s="36"/>
      <c r="CU127" s="36"/>
      <c r="CV127" s="36"/>
      <c r="CW127" s="36"/>
      <c r="CX127" s="36"/>
      <c r="CY127" s="36"/>
      <c r="CZ127" s="36"/>
    </row>
    <row r="128" spans="1:104" ht="36" customHeight="1">
      <c r="B128" s="27"/>
      <c r="C128" s="27"/>
      <c r="D128" s="27"/>
      <c r="E128" s="27"/>
      <c r="F128" s="27"/>
      <c r="G128" s="27"/>
      <c r="H128" s="27"/>
      <c r="I128" s="27"/>
      <c r="J128" s="26"/>
      <c r="K128" s="26"/>
      <c r="L128" s="28"/>
      <c r="M128" s="28"/>
      <c r="N128" s="26"/>
      <c r="O128" s="26"/>
      <c r="P128" s="26"/>
      <c r="W128" s="28"/>
      <c r="X128" s="26"/>
      <c r="Y128" s="26"/>
      <c r="Z128" s="26"/>
      <c r="AA128" s="26"/>
      <c r="AB128" s="26"/>
      <c r="AC128" s="26"/>
      <c r="AD128" s="28"/>
      <c r="AE128" s="28"/>
      <c r="AF128" s="28"/>
      <c r="AG128" s="28"/>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7"/>
      <c r="BF128" s="26"/>
      <c r="BI128" s="260"/>
      <c r="BJ128" s="249"/>
      <c r="BY128" s="260"/>
      <c r="BZ128" s="249"/>
      <c r="CA128" s="249"/>
      <c r="CB128" s="249"/>
      <c r="CI128" s="80"/>
      <c r="CJ128" s="36"/>
      <c r="CK128" s="1483"/>
      <c r="CL128" s="1483"/>
      <c r="CM128" s="36"/>
      <c r="CN128" s="1483"/>
      <c r="CO128" s="1483"/>
      <c r="CP128" s="36"/>
      <c r="CQ128" s="36"/>
      <c r="CR128" s="1483"/>
      <c r="CS128" s="36"/>
      <c r="CT128" s="36"/>
      <c r="CU128" s="36"/>
      <c r="CV128" s="36"/>
      <c r="CW128" s="36"/>
      <c r="CX128" s="36"/>
      <c r="CY128" s="36"/>
      <c r="CZ128" s="36"/>
    </row>
    <row r="129" spans="2:104" ht="36" customHeight="1">
      <c r="B129" s="27"/>
      <c r="C129" s="27"/>
      <c r="D129" s="27"/>
      <c r="E129" s="27"/>
      <c r="F129" s="27"/>
      <c r="G129" s="27"/>
      <c r="H129" s="27"/>
      <c r="I129" s="27"/>
      <c r="J129" s="26"/>
      <c r="K129" s="26"/>
      <c r="L129" s="28"/>
      <c r="M129" s="28"/>
      <c r="N129" s="26"/>
      <c r="O129" s="26"/>
      <c r="P129" s="26"/>
      <c r="W129" s="28"/>
      <c r="X129" s="26"/>
      <c r="Y129" s="26"/>
      <c r="Z129" s="26"/>
      <c r="AA129" s="26"/>
      <c r="AB129" s="26"/>
      <c r="AC129" s="26"/>
      <c r="AD129" s="28"/>
      <c r="AE129" s="28"/>
      <c r="AF129" s="28"/>
      <c r="AG129" s="28"/>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7"/>
      <c r="BF129" s="26"/>
      <c r="BI129" s="208"/>
      <c r="BJ129" s="208"/>
      <c r="BY129" s="208">
        <f>BX118+BY128-' дод 5_1'!E4292</f>
        <v>0</v>
      </c>
      <c r="BZ129" s="208"/>
      <c r="CA129" s="208"/>
      <c r="CB129" s="208"/>
      <c r="CI129" s="80"/>
      <c r="CJ129" s="36"/>
      <c r="CK129" s="1483"/>
      <c r="CL129" s="1483"/>
      <c r="CM129" s="36"/>
      <c r="CN129" s="1483"/>
      <c r="CO129" s="1483"/>
      <c r="CP129" s="36"/>
      <c r="CQ129" s="36"/>
      <c r="CR129" s="1483"/>
      <c r="CS129" s="36"/>
      <c r="CT129" s="36"/>
      <c r="CU129" s="36"/>
      <c r="CV129" s="36"/>
      <c r="CW129" s="36"/>
      <c r="CX129" s="36"/>
      <c r="CY129" s="36"/>
      <c r="CZ129" s="36"/>
    </row>
    <row r="130" spans="2:104" ht="36" customHeight="1">
      <c r="B130" s="27"/>
      <c r="C130" s="27"/>
      <c r="D130" s="27"/>
      <c r="E130" s="27"/>
      <c r="F130" s="27"/>
      <c r="G130" s="27"/>
      <c r="H130" s="27"/>
      <c r="I130" s="27"/>
      <c r="J130" s="26"/>
      <c r="K130" s="26"/>
      <c r="L130" s="28"/>
      <c r="M130" s="28"/>
      <c r="N130" s="26"/>
      <c r="O130" s="26"/>
      <c r="P130" s="26"/>
      <c r="W130" s="28"/>
      <c r="X130" s="26"/>
      <c r="Y130" s="26"/>
      <c r="Z130" s="26"/>
      <c r="AA130" s="26"/>
      <c r="AB130" s="26"/>
      <c r="AC130" s="26"/>
      <c r="AD130" s="28"/>
      <c r="AE130" s="28"/>
      <c r="AF130" s="28"/>
      <c r="AG130" s="28"/>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I130" s="208"/>
      <c r="BJ130" s="208"/>
      <c r="CI130" s="1313"/>
      <c r="CJ130" s="36"/>
      <c r="CK130" s="1483"/>
      <c r="CL130" s="1483"/>
      <c r="CM130" s="36"/>
      <c r="CN130" s="1483"/>
      <c r="CO130" s="1483"/>
      <c r="CP130" s="36"/>
      <c r="CQ130" s="36"/>
      <c r="CR130" s="1483"/>
      <c r="CS130" s="36"/>
      <c r="CT130" s="36"/>
      <c r="CU130" s="36"/>
      <c r="CV130" s="36"/>
      <c r="CW130" s="36"/>
      <c r="CX130" s="36"/>
      <c r="CY130" s="36"/>
      <c r="CZ130" s="36"/>
    </row>
    <row r="131" spans="2:104" ht="36" customHeight="1">
      <c r="B131" s="27"/>
      <c r="C131" s="27"/>
      <c r="D131" s="27"/>
      <c r="E131" s="27"/>
      <c r="F131" s="27"/>
      <c r="G131" s="27"/>
      <c r="H131" s="27"/>
      <c r="I131" s="27"/>
      <c r="J131" s="26"/>
      <c r="K131" s="26"/>
      <c r="L131" s="28"/>
      <c r="M131" s="28"/>
      <c r="N131" s="26"/>
      <c r="O131" s="26"/>
      <c r="P131" s="26"/>
      <c r="W131" s="28"/>
      <c r="X131" s="26"/>
      <c r="Y131" s="26"/>
      <c r="Z131" s="26"/>
      <c r="AA131" s="26"/>
      <c r="AB131" s="26"/>
      <c r="AC131" s="26"/>
      <c r="AD131" s="28"/>
      <c r="AE131" s="28"/>
      <c r="AF131" s="28"/>
      <c r="AG131" s="28"/>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CJ131" s="36"/>
      <c r="CK131" s="1483"/>
      <c r="CL131" s="1483"/>
      <c r="CM131" s="36"/>
      <c r="CN131" s="1483"/>
      <c r="CO131" s="1483"/>
      <c r="CP131" s="36"/>
      <c r="CQ131" s="36"/>
      <c r="CR131" s="1483"/>
      <c r="CS131" s="36"/>
      <c r="CT131" s="36"/>
      <c r="CU131" s="36"/>
      <c r="CV131" s="36"/>
      <c r="CW131" s="36"/>
      <c r="CX131" s="36"/>
      <c r="CY131" s="36"/>
      <c r="CZ131" s="36"/>
    </row>
    <row r="132" spans="2:104" ht="36" customHeight="1">
      <c r="B132" s="27"/>
      <c r="C132" s="27"/>
      <c r="D132" s="27"/>
      <c r="E132" s="27"/>
      <c r="F132" s="27"/>
      <c r="G132" s="27"/>
      <c r="H132" s="27"/>
      <c r="I132" s="27"/>
      <c r="J132" s="26"/>
      <c r="K132" s="26"/>
      <c r="L132" s="28"/>
      <c r="M132" s="28"/>
      <c r="N132" s="26"/>
      <c r="O132" s="26"/>
      <c r="P132" s="26"/>
      <c r="W132" s="28"/>
      <c r="X132" s="26"/>
      <c r="Y132" s="26"/>
      <c r="Z132" s="26"/>
      <c r="AA132" s="26"/>
      <c r="AB132" s="26"/>
      <c r="AC132" s="26"/>
      <c r="AD132" s="28"/>
      <c r="AE132" s="28"/>
      <c r="AF132" s="28"/>
      <c r="AG132" s="28"/>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CJ132" s="36"/>
      <c r="CK132" s="1483"/>
      <c r="CL132" s="1483"/>
      <c r="CM132" s="36"/>
      <c r="CN132" s="1483"/>
      <c r="CO132" s="1483"/>
      <c r="CP132" s="36"/>
      <c r="CQ132" s="36"/>
      <c r="CR132" s="1483"/>
      <c r="CS132" s="36"/>
      <c r="CT132" s="36"/>
      <c r="CU132" s="36"/>
      <c r="CV132" s="36"/>
      <c r="CW132" s="36"/>
      <c r="CX132" s="36"/>
      <c r="CY132" s="36"/>
      <c r="CZ132" s="36"/>
    </row>
    <row r="133" spans="2:104" ht="36" customHeight="1">
      <c r="B133" s="27"/>
      <c r="C133" s="27"/>
      <c r="D133" s="27"/>
      <c r="E133" s="27"/>
      <c r="F133" s="27"/>
      <c r="G133" s="27"/>
      <c r="H133" s="27"/>
      <c r="I133" s="27"/>
      <c r="J133" s="26"/>
      <c r="K133" s="26"/>
      <c r="L133" s="28"/>
      <c r="M133" s="28"/>
      <c r="N133" s="26"/>
      <c r="O133" s="26"/>
      <c r="P133" s="26"/>
      <c r="W133" s="28"/>
      <c r="X133" s="26"/>
      <c r="Y133" s="26"/>
      <c r="Z133" s="26"/>
      <c r="AA133" s="26"/>
      <c r="AB133" s="26"/>
      <c r="AC133" s="26"/>
      <c r="AD133" s="28"/>
      <c r="AE133" s="28"/>
      <c r="AF133" s="28"/>
      <c r="AG133" s="28"/>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CJ133" s="36"/>
      <c r="CK133" s="1483"/>
      <c r="CL133" s="1483"/>
      <c r="CM133" s="36"/>
      <c r="CN133" s="1483"/>
      <c r="CO133" s="1483"/>
      <c r="CP133" s="36"/>
      <c r="CQ133" s="36"/>
      <c r="CR133" s="1483"/>
      <c r="CS133" s="36"/>
      <c r="CT133" s="36"/>
      <c r="CU133" s="36"/>
      <c r="CV133" s="36"/>
      <c r="CW133" s="36"/>
      <c r="CX133" s="36"/>
      <c r="CY133" s="36"/>
      <c r="CZ133" s="36"/>
    </row>
    <row r="134" spans="2:104">
      <c r="CJ134" s="36"/>
      <c r="CK134" s="1483"/>
      <c r="CL134" s="1483"/>
      <c r="CM134" s="36"/>
      <c r="CN134" s="1483"/>
      <c r="CO134" s="1483"/>
      <c r="CP134" s="36"/>
      <c r="CQ134" s="36"/>
      <c r="CR134" s="1483"/>
      <c r="CS134" s="36"/>
      <c r="CT134" s="36"/>
      <c r="CU134" s="36"/>
      <c r="CV134" s="36"/>
      <c r="CW134" s="36"/>
      <c r="CX134" s="36"/>
      <c r="CY134" s="36"/>
      <c r="CZ134" s="36"/>
    </row>
    <row r="135" spans="2:104">
      <c r="CJ135" s="36"/>
      <c r="CK135" s="1483"/>
      <c r="CL135" s="1483"/>
      <c r="CM135" s="36"/>
      <c r="CN135" s="1483"/>
      <c r="CO135" s="1483"/>
      <c r="CP135" s="36"/>
      <c r="CQ135" s="36"/>
      <c r="CR135" s="1483"/>
      <c r="CS135" s="36"/>
      <c r="CT135" s="36"/>
      <c r="CU135" s="36"/>
      <c r="CV135" s="36"/>
      <c r="CW135" s="36"/>
      <c r="CX135" s="36"/>
      <c r="CY135" s="36"/>
      <c r="CZ135" s="36"/>
    </row>
    <row r="136" spans="2:104">
      <c r="CJ136" s="36"/>
      <c r="CK136" s="1483"/>
      <c r="CL136" s="1483"/>
      <c r="CM136" s="36"/>
      <c r="CN136" s="1483"/>
      <c r="CO136" s="1483"/>
      <c r="CP136" s="36"/>
      <c r="CQ136" s="36"/>
      <c r="CR136" s="1483"/>
      <c r="CS136" s="36"/>
      <c r="CT136" s="36"/>
      <c r="CU136" s="36"/>
      <c r="CV136" s="36"/>
      <c r="CW136" s="36"/>
      <c r="CX136" s="36"/>
      <c r="CY136" s="36"/>
      <c r="CZ136" s="36"/>
    </row>
    <row r="137" spans="2:104">
      <c r="CJ137" s="36"/>
      <c r="CK137" s="1483"/>
      <c r="CL137" s="1483"/>
      <c r="CM137" s="36"/>
      <c r="CN137" s="1483"/>
      <c r="CO137" s="1483"/>
      <c r="CP137" s="36"/>
      <c r="CQ137" s="36"/>
      <c r="CR137" s="1483"/>
      <c r="CS137" s="36"/>
      <c r="CT137" s="36"/>
      <c r="CU137" s="36"/>
      <c r="CV137" s="36"/>
      <c r="CW137" s="36"/>
      <c r="CX137" s="36"/>
      <c r="CY137" s="36"/>
      <c r="CZ137" s="36"/>
    </row>
    <row r="138" spans="2:104">
      <c r="CJ138" s="36"/>
      <c r="CK138" s="1483"/>
      <c r="CL138" s="1483"/>
      <c r="CM138" s="36"/>
      <c r="CN138" s="1483"/>
      <c r="CO138" s="1483"/>
      <c r="CP138" s="36"/>
      <c r="CQ138" s="36"/>
      <c r="CR138" s="1483"/>
      <c r="CS138" s="36"/>
      <c r="CT138" s="36"/>
      <c r="CU138" s="36"/>
      <c r="CV138" s="36"/>
      <c r="CW138" s="36"/>
      <c r="CX138" s="36"/>
      <c r="CY138" s="36"/>
      <c r="CZ138" s="36"/>
    </row>
    <row r="139" spans="2:104">
      <c r="CJ139" s="36"/>
      <c r="CK139" s="1483"/>
      <c r="CL139" s="1483"/>
      <c r="CM139" s="36"/>
      <c r="CN139" s="1483"/>
      <c r="CO139" s="1483"/>
      <c r="CP139" s="36"/>
      <c r="CQ139" s="36"/>
      <c r="CR139" s="1483"/>
      <c r="CS139" s="36"/>
      <c r="CT139" s="36"/>
      <c r="CU139" s="36"/>
      <c r="CV139" s="36"/>
      <c r="CW139" s="36"/>
      <c r="CX139" s="36"/>
      <c r="CY139" s="36"/>
      <c r="CZ139" s="36"/>
    </row>
    <row r="140" spans="2:104">
      <c r="CJ140" s="36"/>
      <c r="CK140" s="1483"/>
      <c r="CL140" s="1483"/>
      <c r="CM140" s="36"/>
      <c r="CN140" s="1483"/>
      <c r="CO140" s="1483"/>
      <c r="CP140" s="36"/>
      <c r="CQ140" s="36"/>
      <c r="CR140" s="1483"/>
      <c r="CS140" s="36"/>
      <c r="CT140" s="36"/>
      <c r="CU140" s="36"/>
      <c r="CV140" s="36"/>
      <c r="CW140" s="36"/>
      <c r="CX140" s="36"/>
      <c r="CY140" s="36"/>
      <c r="CZ140" s="36"/>
    </row>
    <row r="141" spans="2:104">
      <c r="CJ141" s="36"/>
      <c r="CK141" s="1483"/>
      <c r="CL141" s="1483"/>
      <c r="CM141" s="36"/>
      <c r="CN141" s="1483"/>
      <c r="CO141" s="1483"/>
      <c r="CP141" s="36"/>
      <c r="CQ141" s="36"/>
      <c r="CR141" s="1483"/>
      <c r="CS141" s="36"/>
      <c r="CT141" s="36"/>
      <c r="CU141" s="36"/>
      <c r="CV141" s="36"/>
      <c r="CW141" s="36"/>
      <c r="CX141" s="36"/>
      <c r="CY141" s="36"/>
      <c r="CZ141" s="36"/>
    </row>
    <row r="142" spans="2:104">
      <c r="CJ142" s="36"/>
      <c r="CK142" s="1483"/>
      <c r="CL142" s="1483"/>
      <c r="CM142" s="36"/>
      <c r="CN142" s="1483"/>
      <c r="CO142" s="1483"/>
      <c r="CP142" s="36"/>
      <c r="CQ142" s="36"/>
      <c r="CR142" s="1483"/>
      <c r="CS142" s="36"/>
      <c r="CT142" s="36"/>
      <c r="CU142" s="36"/>
      <c r="CV142" s="36"/>
      <c r="CW142" s="36"/>
      <c r="CX142" s="36"/>
      <c r="CY142" s="36"/>
      <c r="CZ142" s="36"/>
    </row>
    <row r="143" spans="2:104">
      <c r="CJ143" s="36"/>
      <c r="CK143" s="1483"/>
      <c r="CL143" s="1483"/>
      <c r="CM143" s="36"/>
      <c r="CN143" s="1483"/>
      <c r="CO143" s="1483"/>
      <c r="CP143" s="36"/>
      <c r="CQ143" s="36"/>
      <c r="CR143" s="1483"/>
      <c r="CS143" s="36"/>
      <c r="CT143" s="36"/>
      <c r="CU143" s="36"/>
      <c r="CV143" s="36"/>
      <c r="CW143" s="36"/>
      <c r="CX143" s="36"/>
      <c r="CY143" s="36"/>
      <c r="CZ143" s="36"/>
    </row>
    <row r="144" spans="2:104">
      <c r="CJ144" s="36"/>
      <c r="CK144" s="1483"/>
      <c r="CL144" s="1483"/>
      <c r="CM144" s="36"/>
      <c r="CN144" s="1483"/>
      <c r="CO144" s="1483"/>
      <c r="CP144" s="36"/>
      <c r="CQ144" s="36"/>
      <c r="CR144" s="1483"/>
      <c r="CS144" s="36"/>
      <c r="CT144" s="36"/>
      <c r="CU144" s="36"/>
      <c r="CV144" s="36"/>
      <c r="CW144" s="36"/>
      <c r="CX144" s="36"/>
      <c r="CY144" s="36"/>
      <c r="CZ144" s="36"/>
    </row>
    <row r="145" spans="64:104">
      <c r="CJ145" s="36"/>
      <c r="CK145" s="1483"/>
      <c r="CL145" s="1483"/>
      <c r="CM145" s="36"/>
      <c r="CN145" s="1483"/>
      <c r="CO145" s="1483"/>
      <c r="CP145" s="36"/>
      <c r="CQ145" s="36"/>
      <c r="CR145" s="1483"/>
      <c r="CS145" s="36"/>
      <c r="CT145" s="36"/>
      <c r="CU145" s="36"/>
      <c r="CV145" s="36"/>
      <c r="CW145" s="36"/>
      <c r="CX145" s="36"/>
      <c r="CY145" s="36"/>
      <c r="CZ145" s="36"/>
    </row>
    <row r="147" spans="64:104">
      <c r="BL147" s="80">
        <f>I118+J118+K118+L118+P118+X118+AA118+AH118+BH118+AD118</f>
        <v>3798913680</v>
      </c>
    </row>
  </sheetData>
  <mergeCells count="105">
    <mergeCell ref="AW14:AX14"/>
    <mergeCell ref="AX15:AX17"/>
    <mergeCell ref="CF121:CH121"/>
    <mergeCell ref="O14:O17"/>
    <mergeCell ref="K14:K17"/>
    <mergeCell ref="AO15:AO16"/>
    <mergeCell ref="AN15:AN16"/>
    <mergeCell ref="Z15:Z17"/>
    <mergeCell ref="Y14:Z14"/>
    <mergeCell ref="R14:V14"/>
    <mergeCell ref="H11:H17"/>
    <mergeCell ref="I14:I17"/>
    <mergeCell ref="G14:G17"/>
    <mergeCell ref="R15:R17"/>
    <mergeCell ref="P14:P17"/>
    <mergeCell ref="J14:J17"/>
    <mergeCell ref="N14:N17"/>
    <mergeCell ref="I11:I12"/>
    <mergeCell ref="J12:BN12"/>
    <mergeCell ref="Y15:Y17"/>
    <mergeCell ref="F14:F17"/>
    <mergeCell ref="AD14:AD17"/>
    <mergeCell ref="AE14:AG14"/>
    <mergeCell ref="AE15:AE17"/>
    <mergeCell ref="AI15:AJ16"/>
    <mergeCell ref="M14:M17"/>
    <mergeCell ref="L14:L17"/>
    <mergeCell ref="T15:V15"/>
    <mergeCell ref="T16:T17"/>
    <mergeCell ref="AB14:AB17"/>
    <mergeCell ref="C14:C17"/>
    <mergeCell ref="C11:C12"/>
    <mergeCell ref="E14:E17"/>
    <mergeCell ref="D14:D17"/>
    <mergeCell ref="Q14:Q17"/>
    <mergeCell ref="D11:G11"/>
    <mergeCell ref="I13:CH13"/>
    <mergeCell ref="AA14:AA17"/>
    <mergeCell ref="U16:V16"/>
    <mergeCell ref="S15:S17"/>
    <mergeCell ref="X14:X17"/>
    <mergeCell ref="W14:W17"/>
    <mergeCell ref="AF15:AF17"/>
    <mergeCell ref="AG15:AG17"/>
    <mergeCell ref="AH14:AH17"/>
    <mergeCell ref="AI14:AO14"/>
    <mergeCell ref="AK15:AK17"/>
    <mergeCell ref="AL15:AM16"/>
    <mergeCell ref="BA14:BA17"/>
    <mergeCell ref="AT15:AT17"/>
    <mergeCell ref="AQ15:AQ17"/>
    <mergeCell ref="AR15:AR17"/>
    <mergeCell ref="AS15:AS17"/>
    <mergeCell ref="AP14:AP17"/>
    <mergeCell ref="AQ14:AU14"/>
    <mergeCell ref="AU15:AU17"/>
    <mergeCell ref="AY14:AY17"/>
    <mergeCell ref="AW15:AW17"/>
    <mergeCell ref="BJ15:BJ17"/>
    <mergeCell ref="BC14:BC17"/>
    <mergeCell ref="BD15:BD17"/>
    <mergeCell ref="BB14:BB17"/>
    <mergeCell ref="BG14:BG17"/>
    <mergeCell ref="BF14:BF17"/>
    <mergeCell ref="BI14:BN14"/>
    <mergeCell ref="J11:CH11"/>
    <mergeCell ref="BU14:BU17"/>
    <mergeCell ref="CB15:CB17"/>
    <mergeCell ref="BK15:BK17"/>
    <mergeCell ref="BL15:BL17"/>
    <mergeCell ref="BM15:BM17"/>
    <mergeCell ref="BN15:BN17"/>
    <mergeCell ref="BW14:BW17"/>
    <mergeCell ref="BH14:BH17"/>
    <mergeCell ref="BI15:BI17"/>
    <mergeCell ref="BV14:BV17"/>
    <mergeCell ref="B7:B17"/>
    <mergeCell ref="A7:A17"/>
    <mergeCell ref="BX14:BX17"/>
    <mergeCell ref="BY15:BY17"/>
    <mergeCell ref="BE14:BE17"/>
    <mergeCell ref="BQ14:BQ17"/>
    <mergeCell ref="BP14:BP17"/>
    <mergeCell ref="BO14:BO17"/>
    <mergeCell ref="I7:CI7"/>
    <mergeCell ref="C13:G13"/>
    <mergeCell ref="CD15:CD17"/>
    <mergeCell ref="AV14:AV17"/>
    <mergeCell ref="BZ15:BZ17"/>
    <mergeCell ref="CA15:CA17"/>
    <mergeCell ref="BY14:CH14"/>
    <mergeCell ref="BR15:BR17"/>
    <mergeCell ref="BS15:BS17"/>
    <mergeCell ref="BT15:BT17"/>
    <mergeCell ref="BR14:BT14"/>
    <mergeCell ref="AZ14:AZ17"/>
    <mergeCell ref="CI11:CI17"/>
    <mergeCell ref="C7:H7"/>
    <mergeCell ref="D12:E12"/>
    <mergeCell ref="F12:G12"/>
    <mergeCell ref="CE15:CE17"/>
    <mergeCell ref="CF15:CF17"/>
    <mergeCell ref="CG15:CH15"/>
    <mergeCell ref="AC14:AC17"/>
    <mergeCell ref="CC15:CC17"/>
  </mergeCells>
  <phoneticPr fontId="0" type="noConversion"/>
  <printOptions horizontalCentered="1"/>
  <pageMargins left="0.39370078740157483" right="0" top="0.59055118110236227" bottom="0.19685039370078741" header="0" footer="0"/>
  <pageSetup paperSize="9" scale="35" orientation="portrait" r:id="rId1"/>
  <headerFooter alignWithMargins="0"/>
  <colBreaks count="4" manualBreakCount="4">
    <brk id="8" max="120" man="1"/>
    <brk id="46" max="120" man="1"/>
    <brk id="53" max="120" man="1"/>
    <brk id="64" max="12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filterMode="1"/>
  <dimension ref="A1:AQ4419"/>
  <sheetViews>
    <sheetView view="pageBreakPreview" zoomScale="73" zoomScaleNormal="65" zoomScaleSheetLayoutView="73" workbookViewId="0">
      <pane xSplit="2" ySplit="7" topLeftCell="C4286" activePane="bottomRight" state="frozen"/>
      <selection pane="topRight" activeCell="C1" sqref="C1"/>
      <selection pane="bottomLeft" activeCell="A8" sqref="A8"/>
      <selection pane="bottomRight" activeCell="L3967" sqref="L3967"/>
    </sheetView>
  </sheetViews>
  <sheetFormatPr defaultRowHeight="18.75"/>
  <cols>
    <col min="1" max="1" width="26.85546875" style="92" customWidth="1"/>
    <col min="2" max="2" width="44.42578125" style="92" customWidth="1"/>
    <col min="3" max="3" width="20.7109375" style="92" customWidth="1"/>
    <col min="4" max="4" width="22.5703125" style="92" customWidth="1"/>
    <col min="5" max="5" width="21.5703125" style="92" customWidth="1"/>
    <col min="6" max="6" width="16.85546875" style="7" hidden="1" customWidth="1"/>
    <col min="7" max="7" width="13.7109375" style="7" hidden="1" customWidth="1"/>
    <col min="8" max="8" width="16.42578125" style="92" customWidth="1"/>
    <col min="9" max="9" width="17.140625" style="92" customWidth="1"/>
    <col min="10" max="10" width="13.85546875" style="92" bestFit="1" customWidth="1"/>
    <col min="11" max="11" width="13.28515625" style="92" customWidth="1"/>
    <col min="12" max="12" width="64.28515625" style="92" customWidth="1"/>
    <col min="13" max="15" width="39.42578125" style="92" customWidth="1"/>
    <col min="16" max="16384" width="9.140625" style="92"/>
  </cols>
  <sheetData>
    <row r="1" spans="1:43" s="17" customFormat="1" ht="20.25" customHeight="1">
      <c r="A1" s="203"/>
      <c r="B1" s="396"/>
      <c r="C1" s="203"/>
      <c r="D1" s="204" t="s">
        <v>97</v>
      </c>
      <c r="F1"/>
      <c r="G1" s="18"/>
      <c r="H1" s="92"/>
      <c r="I1" s="207">
        <v>1</v>
      </c>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row>
    <row r="2" spans="1:43" s="17" customFormat="1" ht="18" customHeight="1">
      <c r="A2" s="205"/>
      <c r="B2" s="397"/>
      <c r="C2" s="205"/>
      <c r="D2" s="204" t="s">
        <v>368</v>
      </c>
      <c r="E2" s="92"/>
      <c r="F2"/>
      <c r="G2" s="18"/>
      <c r="H2" s="1496"/>
      <c r="I2" s="1496">
        <v>1</v>
      </c>
      <c r="J2" s="1489"/>
      <c r="K2" s="1489"/>
      <c r="L2" s="1489"/>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row>
    <row r="3" spans="1:43" s="17" customFormat="1" ht="18" customHeight="1">
      <c r="A3" s="205"/>
      <c r="B3" s="397"/>
      <c r="C3" s="205"/>
      <c r="D3" s="204" t="s">
        <v>2156</v>
      </c>
      <c r="E3" s="92"/>
      <c r="F3"/>
      <c r="G3" s="18"/>
      <c r="H3" s="1496"/>
      <c r="I3" s="1496">
        <v>1</v>
      </c>
      <c r="J3" s="1489"/>
      <c r="K3" s="1489"/>
      <c r="L3" s="1489"/>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row>
    <row r="4" spans="1:43" s="17" customFormat="1" ht="37.5" customHeight="1">
      <c r="A4" s="1661" t="s">
        <v>962</v>
      </c>
      <c r="B4" s="1662"/>
      <c r="C4" s="1661"/>
      <c r="D4" s="1661"/>
      <c r="E4" s="1661"/>
      <c r="F4" s="1562"/>
      <c r="G4" s="5"/>
      <c r="H4" s="1496"/>
      <c r="I4" s="1496">
        <v>1</v>
      </c>
      <c r="J4" s="1489"/>
      <c r="K4" s="1489"/>
      <c r="L4" s="1548"/>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row>
    <row r="5" spans="1:43" ht="16.5" customHeight="1">
      <c r="A5" s="206"/>
      <c r="B5" s="398"/>
      <c r="C5" s="206"/>
      <c r="D5" s="206"/>
      <c r="E5" s="128" t="s">
        <v>982</v>
      </c>
      <c r="F5" s="105"/>
      <c r="G5" s="106"/>
      <c r="H5" s="1440"/>
      <c r="I5" s="1440">
        <v>1</v>
      </c>
      <c r="J5" s="1490"/>
      <c r="K5" s="1490"/>
      <c r="L5" s="1490"/>
    </row>
    <row r="6" spans="1:43" ht="54.75" customHeight="1">
      <c r="A6" s="198" t="s">
        <v>140</v>
      </c>
      <c r="B6" s="198" t="s">
        <v>83</v>
      </c>
      <c r="C6" s="198" t="s">
        <v>984</v>
      </c>
      <c r="D6" s="198" t="s">
        <v>64</v>
      </c>
      <c r="E6" s="198" t="s">
        <v>65</v>
      </c>
      <c r="F6" s="105"/>
      <c r="G6" s="106"/>
      <c r="H6" s="1440"/>
      <c r="I6" s="1440">
        <v>1</v>
      </c>
      <c r="J6" s="1490"/>
      <c r="K6" s="1490"/>
      <c r="L6" s="1490"/>
    </row>
    <row r="7" spans="1:43" ht="18" customHeight="1">
      <c r="A7" s="103">
        <v>1</v>
      </c>
      <c r="B7" s="103">
        <v>2</v>
      </c>
      <c r="C7" s="103">
        <v>3</v>
      </c>
      <c r="D7" s="198">
        <v>4</v>
      </c>
      <c r="E7" s="198">
        <v>5</v>
      </c>
      <c r="F7" s="105"/>
      <c r="G7" s="106"/>
      <c r="H7" s="1440"/>
      <c r="I7" s="1440">
        <v>1</v>
      </c>
      <c r="J7" s="1490"/>
      <c r="K7" s="1490"/>
      <c r="L7" s="1490"/>
    </row>
    <row r="8" spans="1:43" ht="61.5" customHeight="1">
      <c r="A8" s="1566" t="s">
        <v>1138</v>
      </c>
      <c r="B8" s="181" t="s">
        <v>772</v>
      </c>
      <c r="C8" s="589">
        <v>500600</v>
      </c>
      <c r="D8" s="589">
        <v>500600</v>
      </c>
      <c r="E8" s="644"/>
      <c r="F8" s="230"/>
      <c r="G8" s="230"/>
      <c r="H8" s="1497">
        <f>E8+D8-C8</f>
        <v>0</v>
      </c>
      <c r="I8" s="1497">
        <f>SUM(C8:E8)</f>
        <v>1001200</v>
      </c>
      <c r="J8" s="1490"/>
      <c r="K8" s="1490"/>
      <c r="L8" s="1490"/>
    </row>
    <row r="9" spans="1:43" ht="56.25">
      <c r="A9" s="1566"/>
      <c r="B9" s="457" t="s">
        <v>863</v>
      </c>
      <c r="C9" s="589">
        <v>2500000</v>
      </c>
      <c r="D9" s="589">
        <v>2500000</v>
      </c>
      <c r="E9" s="644"/>
      <c r="F9" s="232"/>
      <c r="G9" s="232"/>
      <c r="H9" s="1497">
        <f t="shared" ref="H9:H72" si="0">E9+D9-C9</f>
        <v>0</v>
      </c>
      <c r="I9" s="1497">
        <f t="shared" ref="I9:I72" si="1">SUM(C9:E9)</f>
        <v>5000000</v>
      </c>
      <c r="J9" s="1490"/>
      <c r="K9" s="1490"/>
      <c r="L9" s="1490"/>
    </row>
    <row r="10" spans="1:43" ht="37.5">
      <c r="A10" s="1566"/>
      <c r="B10" s="1198" t="s">
        <v>1273</v>
      </c>
      <c r="C10" s="590">
        <v>2077920</v>
      </c>
      <c r="D10" s="590">
        <v>2077920</v>
      </c>
      <c r="E10" s="590"/>
      <c r="F10" s="232"/>
      <c r="G10" s="232"/>
      <c r="H10" s="1497">
        <f t="shared" si="0"/>
        <v>0</v>
      </c>
      <c r="I10" s="1497">
        <f t="shared" si="1"/>
        <v>4155840</v>
      </c>
      <c r="J10" s="1490"/>
      <c r="K10" s="1490"/>
      <c r="L10" s="1490"/>
    </row>
    <row r="11" spans="1:43" ht="37.5">
      <c r="A11" s="1566"/>
      <c r="B11" s="1213" t="s">
        <v>1300</v>
      </c>
      <c r="C11" s="1214">
        <v>300000</v>
      </c>
      <c r="D11" s="256"/>
      <c r="E11" s="256">
        <v>300000</v>
      </c>
      <c r="F11" s="232"/>
      <c r="G11" s="232"/>
      <c r="H11" s="1497">
        <f t="shared" si="0"/>
        <v>0</v>
      </c>
      <c r="I11" s="1497">
        <f t="shared" si="1"/>
        <v>600000</v>
      </c>
      <c r="J11" s="1440"/>
      <c r="K11" s="1490"/>
      <c r="L11" s="1490"/>
    </row>
    <row r="12" spans="1:43" ht="93.75">
      <c r="A12" s="1566"/>
      <c r="B12" s="1215" t="s">
        <v>1988</v>
      </c>
      <c r="C12" s="1214">
        <v>500000</v>
      </c>
      <c r="D12" s="256"/>
      <c r="E12" s="256">
        <v>500000</v>
      </c>
      <c r="F12" s="232"/>
      <c r="G12" s="232"/>
      <c r="H12" s="1497">
        <f t="shared" si="0"/>
        <v>0</v>
      </c>
      <c r="I12" s="1497">
        <f t="shared" si="1"/>
        <v>1000000</v>
      </c>
      <c r="J12" s="1440"/>
      <c r="K12" s="1490"/>
      <c r="L12" s="1490"/>
    </row>
    <row r="13" spans="1:43" ht="112.5">
      <c r="A13" s="1566"/>
      <c r="B13" s="1213" t="s">
        <v>1301</v>
      </c>
      <c r="C13" s="1214">
        <v>50000</v>
      </c>
      <c r="D13" s="256">
        <v>50000</v>
      </c>
      <c r="E13" s="256"/>
      <c r="F13" s="232"/>
      <c r="G13" s="232"/>
      <c r="H13" s="1497">
        <f t="shared" si="0"/>
        <v>0</v>
      </c>
      <c r="I13" s="1497">
        <f t="shared" si="1"/>
        <v>100000</v>
      </c>
      <c r="J13" s="1440"/>
      <c r="K13" s="1490"/>
      <c r="L13" s="1490"/>
    </row>
    <row r="14" spans="1:43" ht="112.5">
      <c r="A14" s="1566"/>
      <c r="B14" s="1213" t="s">
        <v>1302</v>
      </c>
      <c r="C14" s="1214">
        <v>40000</v>
      </c>
      <c r="D14" s="256">
        <v>40000</v>
      </c>
      <c r="E14" s="256"/>
      <c r="F14" s="232"/>
      <c r="G14" s="232"/>
      <c r="H14" s="1497">
        <f t="shared" si="0"/>
        <v>0</v>
      </c>
      <c r="I14" s="1497">
        <f t="shared" si="1"/>
        <v>80000</v>
      </c>
      <c r="J14" s="1440"/>
      <c r="K14" s="1490"/>
      <c r="L14" s="1490"/>
    </row>
    <row r="15" spans="1:43" ht="112.5">
      <c r="A15" s="1566"/>
      <c r="B15" s="1213" t="s">
        <v>1303</v>
      </c>
      <c r="C15" s="1214">
        <v>50000</v>
      </c>
      <c r="D15" s="256">
        <v>50000</v>
      </c>
      <c r="E15" s="256"/>
      <c r="F15" s="232"/>
      <c r="G15" s="232"/>
      <c r="H15" s="1497">
        <f t="shared" si="0"/>
        <v>0</v>
      </c>
      <c r="I15" s="1497">
        <f t="shared" si="1"/>
        <v>100000</v>
      </c>
      <c r="J15" s="1440"/>
      <c r="K15" s="1497">
        <f>C15+D56+C67</f>
        <v>90000</v>
      </c>
      <c r="L15" s="1490"/>
    </row>
    <row r="16" spans="1:43" ht="75">
      <c r="A16" s="1566"/>
      <c r="B16" s="1213" t="s">
        <v>1304</v>
      </c>
      <c r="C16" s="1214">
        <v>50000</v>
      </c>
      <c r="D16" s="256">
        <v>50000</v>
      </c>
      <c r="E16" s="256"/>
      <c r="F16" s="232"/>
      <c r="G16" s="232"/>
      <c r="H16" s="1497">
        <f t="shared" si="0"/>
        <v>0</v>
      </c>
      <c r="I16" s="1497">
        <f t="shared" si="1"/>
        <v>100000</v>
      </c>
      <c r="J16" s="1440"/>
      <c r="K16" s="1490"/>
      <c r="L16" s="1490"/>
    </row>
    <row r="17" spans="1:12" ht="75">
      <c r="A17" s="1566"/>
      <c r="B17" s="1213" t="s">
        <v>1305</v>
      </c>
      <c r="C17" s="1214">
        <v>35000</v>
      </c>
      <c r="D17" s="256"/>
      <c r="E17" s="256">
        <v>35000</v>
      </c>
      <c r="F17" s="232"/>
      <c r="G17" s="232"/>
      <c r="H17" s="1497">
        <f t="shared" si="0"/>
        <v>0</v>
      </c>
      <c r="I17" s="1497">
        <f t="shared" si="1"/>
        <v>70000</v>
      </c>
      <c r="J17" s="1440"/>
      <c r="K17" s="1490"/>
      <c r="L17" s="1490"/>
    </row>
    <row r="18" spans="1:12" ht="75">
      <c r="A18" s="1566"/>
      <c r="B18" s="1213" t="s">
        <v>1306</v>
      </c>
      <c r="C18" s="1214">
        <v>30000</v>
      </c>
      <c r="D18" s="256">
        <v>30000</v>
      </c>
      <c r="E18" s="256"/>
      <c r="F18" s="232"/>
      <c r="G18" s="232"/>
      <c r="H18" s="1497">
        <f t="shared" si="0"/>
        <v>0</v>
      </c>
      <c r="I18" s="1497">
        <f t="shared" si="1"/>
        <v>60000</v>
      </c>
      <c r="J18" s="1440"/>
      <c r="K18" s="1490"/>
      <c r="L18" s="1490"/>
    </row>
    <row r="19" spans="1:12" ht="37.5">
      <c r="A19" s="1566"/>
      <c r="B19" s="1213" t="s">
        <v>1307</v>
      </c>
      <c r="C19" s="1214">
        <v>60000</v>
      </c>
      <c r="D19" s="256"/>
      <c r="E19" s="256">
        <v>60000</v>
      </c>
      <c r="F19" s="232"/>
      <c r="G19" s="232"/>
      <c r="H19" s="1497">
        <f t="shared" si="0"/>
        <v>0</v>
      </c>
      <c r="I19" s="1497">
        <f t="shared" si="1"/>
        <v>120000</v>
      </c>
      <c r="J19" s="1440"/>
      <c r="K19" s="1490"/>
      <c r="L19" s="1490"/>
    </row>
    <row r="20" spans="1:12" ht="93.75">
      <c r="A20" s="1566"/>
      <c r="B20" s="1213" t="s">
        <v>1308</v>
      </c>
      <c r="C20" s="1214">
        <v>50000</v>
      </c>
      <c r="D20" s="256"/>
      <c r="E20" s="256">
        <v>50000</v>
      </c>
      <c r="F20" s="232"/>
      <c r="G20" s="232"/>
      <c r="H20" s="1497">
        <f t="shared" si="0"/>
        <v>0</v>
      </c>
      <c r="I20" s="1497">
        <f t="shared" si="1"/>
        <v>100000</v>
      </c>
      <c r="J20" s="1440"/>
      <c r="K20" s="1490"/>
      <c r="L20" s="1490"/>
    </row>
    <row r="21" spans="1:12" ht="56.25">
      <c r="A21" s="1566"/>
      <c r="B21" s="1216" t="s">
        <v>1309</v>
      </c>
      <c r="C21" s="1214">
        <v>30000</v>
      </c>
      <c r="D21" s="256"/>
      <c r="E21" s="256">
        <v>30000</v>
      </c>
      <c r="F21" s="232"/>
      <c r="G21" s="232"/>
      <c r="H21" s="1497">
        <f t="shared" si="0"/>
        <v>0</v>
      </c>
      <c r="I21" s="1497">
        <f t="shared" si="1"/>
        <v>60000</v>
      </c>
      <c r="J21" s="1440"/>
      <c r="K21" s="1490"/>
      <c r="L21" s="1490"/>
    </row>
    <row r="22" spans="1:12" ht="75">
      <c r="A22" s="1566"/>
      <c r="B22" s="1216" t="s">
        <v>1310</v>
      </c>
      <c r="C22" s="1214">
        <v>10000</v>
      </c>
      <c r="D22" s="256"/>
      <c r="E22" s="256">
        <v>10000</v>
      </c>
      <c r="F22" s="232"/>
      <c r="G22" s="232"/>
      <c r="H22" s="1497">
        <f t="shared" si="0"/>
        <v>0</v>
      </c>
      <c r="I22" s="1497">
        <f t="shared" si="1"/>
        <v>20000</v>
      </c>
      <c r="J22" s="1440"/>
      <c r="K22" s="1490"/>
      <c r="L22" s="1490"/>
    </row>
    <row r="23" spans="1:12" ht="93.75">
      <c r="A23" s="1566"/>
      <c r="B23" s="1216" t="s">
        <v>1311</v>
      </c>
      <c r="C23" s="1214">
        <v>300000</v>
      </c>
      <c r="D23" s="256">
        <v>300000</v>
      </c>
      <c r="E23" s="256"/>
      <c r="F23" s="232"/>
      <c r="G23" s="232"/>
      <c r="H23" s="1497">
        <f t="shared" si="0"/>
        <v>0</v>
      </c>
      <c r="I23" s="1497">
        <f t="shared" si="1"/>
        <v>600000</v>
      </c>
      <c r="J23" s="1440"/>
      <c r="K23" s="1490"/>
      <c r="L23" s="1490"/>
    </row>
    <row r="24" spans="1:12" ht="112.5">
      <c r="A24" s="1566"/>
      <c r="B24" s="1215" t="s">
        <v>1312</v>
      </c>
      <c r="C24" s="1214">
        <v>300000</v>
      </c>
      <c r="D24" s="256"/>
      <c r="E24" s="256">
        <v>300000</v>
      </c>
      <c r="F24" s="232"/>
      <c r="G24" s="232"/>
      <c r="H24" s="1497">
        <f t="shared" si="0"/>
        <v>0</v>
      </c>
      <c r="I24" s="1497">
        <f t="shared" si="1"/>
        <v>600000</v>
      </c>
      <c r="J24" s="1440"/>
      <c r="K24" s="1490"/>
      <c r="L24" s="1490"/>
    </row>
    <row r="25" spans="1:12" ht="112.5">
      <c r="A25" s="1566"/>
      <c r="B25" s="1215" t="s">
        <v>1313</v>
      </c>
      <c r="C25" s="1214">
        <v>80000</v>
      </c>
      <c r="D25" s="256">
        <v>80000</v>
      </c>
      <c r="E25" s="256"/>
      <c r="F25" s="232"/>
      <c r="G25" s="232"/>
      <c r="H25" s="1497">
        <f t="shared" si="0"/>
        <v>0</v>
      </c>
      <c r="I25" s="1497">
        <f t="shared" si="1"/>
        <v>160000</v>
      </c>
      <c r="J25" s="1440"/>
      <c r="K25" s="1490"/>
      <c r="L25" s="1490"/>
    </row>
    <row r="26" spans="1:12" ht="75">
      <c r="A26" s="1566"/>
      <c r="B26" s="1215" t="s">
        <v>1314</v>
      </c>
      <c r="C26" s="1214">
        <v>70000</v>
      </c>
      <c r="D26" s="256"/>
      <c r="E26" s="256">
        <v>70000</v>
      </c>
      <c r="F26" s="232"/>
      <c r="G26" s="232"/>
      <c r="H26" s="1497">
        <f t="shared" si="0"/>
        <v>0</v>
      </c>
      <c r="I26" s="1497">
        <f t="shared" si="1"/>
        <v>140000</v>
      </c>
      <c r="J26" s="1440"/>
      <c r="K26" s="1490"/>
      <c r="L26" s="1490"/>
    </row>
    <row r="27" spans="1:12" s="7" customFormat="1" ht="37.5">
      <c r="A27" s="1558"/>
      <c r="B27" s="1215" t="s">
        <v>1315</v>
      </c>
      <c r="C27" s="1214">
        <v>1500000</v>
      </c>
      <c r="D27" s="256">
        <v>1500000</v>
      </c>
      <c r="E27" s="256"/>
      <c r="F27" s="232"/>
      <c r="G27" s="232"/>
      <c r="H27" s="1497">
        <f t="shared" si="0"/>
        <v>0</v>
      </c>
      <c r="I27" s="1497">
        <f t="shared" si="1"/>
        <v>3000000</v>
      </c>
      <c r="J27" s="1435"/>
      <c r="K27" s="1491"/>
      <c r="L27" s="1491"/>
    </row>
    <row r="28" spans="1:12" s="7" customFormat="1" ht="37.5">
      <c r="A28" s="1558"/>
      <c r="B28" s="107" t="s">
        <v>1456</v>
      </c>
      <c r="C28" s="817">
        <v>30000</v>
      </c>
      <c r="D28" s="817"/>
      <c r="E28" s="184">
        <v>30000</v>
      </c>
      <c r="F28" s="232"/>
      <c r="G28" s="232"/>
      <c r="H28" s="1497">
        <f t="shared" si="0"/>
        <v>0</v>
      </c>
      <c r="I28" s="1497">
        <f t="shared" si="1"/>
        <v>60000</v>
      </c>
      <c r="J28" s="1435"/>
      <c r="K28" s="1491"/>
      <c r="L28" s="1491"/>
    </row>
    <row r="29" spans="1:12" s="7" customFormat="1" ht="37.5">
      <c r="A29" s="1558"/>
      <c r="B29" s="107" t="s">
        <v>1457</v>
      </c>
      <c r="C29" s="817">
        <v>20000</v>
      </c>
      <c r="D29" s="817">
        <v>20000</v>
      </c>
      <c r="E29" s="184"/>
      <c r="F29" s="232"/>
      <c r="G29" s="232"/>
      <c r="H29" s="1497">
        <f t="shared" si="0"/>
        <v>0</v>
      </c>
      <c r="I29" s="1497">
        <f t="shared" si="1"/>
        <v>40000</v>
      </c>
      <c r="J29" s="1435"/>
      <c r="K29" s="1491"/>
      <c r="L29" s="1491"/>
    </row>
    <row r="30" spans="1:12" s="7" customFormat="1" ht="56.25">
      <c r="A30" s="1558"/>
      <c r="B30" s="107" t="s">
        <v>1458</v>
      </c>
      <c r="C30" s="817">
        <v>20000</v>
      </c>
      <c r="D30" s="817">
        <v>6000</v>
      </c>
      <c r="E30" s="184">
        <v>14000</v>
      </c>
      <c r="F30" s="232"/>
      <c r="G30" s="232"/>
      <c r="H30" s="1497">
        <f t="shared" si="0"/>
        <v>0</v>
      </c>
      <c r="I30" s="1497">
        <f t="shared" si="1"/>
        <v>40000</v>
      </c>
      <c r="J30" s="1435"/>
      <c r="K30" s="1491"/>
      <c r="L30" s="1491"/>
    </row>
    <row r="31" spans="1:12" s="7" customFormat="1" ht="75">
      <c r="A31" s="1558"/>
      <c r="B31" s="107" t="s">
        <v>1459</v>
      </c>
      <c r="C31" s="817">
        <v>20000</v>
      </c>
      <c r="D31" s="817">
        <v>20000</v>
      </c>
      <c r="E31" s="184"/>
      <c r="F31" s="232"/>
      <c r="G31" s="232"/>
      <c r="H31" s="1497">
        <f t="shared" si="0"/>
        <v>0</v>
      </c>
      <c r="I31" s="1497">
        <f t="shared" si="1"/>
        <v>40000</v>
      </c>
      <c r="J31" s="1435"/>
      <c r="K31" s="1491"/>
      <c r="L31" s="1491"/>
    </row>
    <row r="32" spans="1:12" s="7" customFormat="1" ht="131.25">
      <c r="A32" s="1558"/>
      <c r="B32" s="425" t="s">
        <v>1460</v>
      </c>
      <c r="C32" s="1226">
        <v>40000</v>
      </c>
      <c r="D32" s="1226">
        <v>40000</v>
      </c>
      <c r="E32" s="1227"/>
      <c r="F32" s="232"/>
      <c r="G32" s="232"/>
      <c r="H32" s="1497">
        <f t="shared" si="0"/>
        <v>0</v>
      </c>
      <c r="I32" s="1497">
        <f t="shared" si="1"/>
        <v>80000</v>
      </c>
      <c r="J32" s="1435"/>
      <c r="K32" s="1491"/>
      <c r="L32" s="1491"/>
    </row>
    <row r="33" spans="1:12" s="7" customFormat="1" ht="75">
      <c r="A33" s="1558"/>
      <c r="B33" s="425" t="s">
        <v>1461</v>
      </c>
      <c r="C33" s="817">
        <v>20000</v>
      </c>
      <c r="D33" s="1226">
        <v>20000</v>
      </c>
      <c r="E33" s="1226"/>
      <c r="F33" s="232"/>
      <c r="G33" s="232"/>
      <c r="H33" s="1497">
        <f t="shared" si="0"/>
        <v>0</v>
      </c>
      <c r="I33" s="1497">
        <f t="shared" si="1"/>
        <v>40000</v>
      </c>
      <c r="J33" s="1435"/>
      <c r="K33" s="1491"/>
      <c r="L33" s="1491"/>
    </row>
    <row r="34" spans="1:12" s="7" customFormat="1" ht="56.25">
      <c r="A34" s="1558"/>
      <c r="B34" s="425" t="s">
        <v>1462</v>
      </c>
      <c r="C34" s="817">
        <v>16000</v>
      </c>
      <c r="D34" s="1226"/>
      <c r="E34" s="1226">
        <v>16000</v>
      </c>
      <c r="F34" s="232"/>
      <c r="G34" s="232"/>
      <c r="H34" s="1497">
        <f t="shared" si="0"/>
        <v>0</v>
      </c>
      <c r="I34" s="1497">
        <f t="shared" si="1"/>
        <v>32000</v>
      </c>
      <c r="J34" s="1435"/>
      <c r="K34" s="1491"/>
      <c r="L34" s="1491"/>
    </row>
    <row r="35" spans="1:12" s="7" customFormat="1" ht="93.75">
      <c r="A35" s="1558"/>
      <c r="B35" s="425" t="s">
        <v>1463</v>
      </c>
      <c r="C35" s="817">
        <v>4000</v>
      </c>
      <c r="D35" s="1226">
        <v>4000</v>
      </c>
      <c r="E35" s="1226"/>
      <c r="F35" s="232"/>
      <c r="G35" s="232"/>
      <c r="H35" s="1497">
        <f t="shared" si="0"/>
        <v>0</v>
      </c>
      <c r="I35" s="1497">
        <f t="shared" si="1"/>
        <v>8000</v>
      </c>
      <c r="J35" s="1435"/>
      <c r="K35" s="1491"/>
      <c r="L35" s="1491"/>
    </row>
    <row r="36" spans="1:12" s="7" customFormat="1" ht="56.25">
      <c r="A36" s="1558"/>
      <c r="B36" s="425" t="s">
        <v>1464</v>
      </c>
      <c r="C36" s="817">
        <v>12500</v>
      </c>
      <c r="D36" s="1226"/>
      <c r="E36" s="1226">
        <v>12500</v>
      </c>
      <c r="F36" s="232"/>
      <c r="G36" s="232"/>
      <c r="H36" s="1497">
        <f t="shared" si="0"/>
        <v>0</v>
      </c>
      <c r="I36" s="1497">
        <f t="shared" si="1"/>
        <v>25000</v>
      </c>
      <c r="J36" s="1435"/>
      <c r="K36" s="1491"/>
      <c r="L36" s="1491"/>
    </row>
    <row r="37" spans="1:12" s="7" customFormat="1" ht="37.5">
      <c r="A37" s="1558"/>
      <c r="B37" s="425" t="s">
        <v>1465</v>
      </c>
      <c r="C37" s="817">
        <v>48000</v>
      </c>
      <c r="D37" s="1226">
        <v>48000</v>
      </c>
      <c r="E37" s="1227"/>
      <c r="F37" s="232"/>
      <c r="G37" s="232"/>
      <c r="H37" s="1497">
        <f t="shared" si="0"/>
        <v>0</v>
      </c>
      <c r="I37" s="1497">
        <f t="shared" si="1"/>
        <v>96000</v>
      </c>
      <c r="J37" s="1435"/>
      <c r="K37" s="1491"/>
      <c r="L37" s="1491"/>
    </row>
    <row r="38" spans="1:12" s="7" customFormat="1" ht="37.5">
      <c r="A38" s="1558"/>
      <c r="B38" s="425" t="s">
        <v>1466</v>
      </c>
      <c r="C38" s="817">
        <v>49000</v>
      </c>
      <c r="D38" s="1226">
        <v>49000</v>
      </c>
      <c r="E38" s="1227"/>
      <c r="F38" s="232"/>
      <c r="G38" s="232"/>
      <c r="H38" s="1497">
        <f t="shared" si="0"/>
        <v>0</v>
      </c>
      <c r="I38" s="1497">
        <f t="shared" si="1"/>
        <v>98000</v>
      </c>
      <c r="J38" s="1435"/>
      <c r="K38" s="1491"/>
      <c r="L38" s="1491"/>
    </row>
    <row r="39" spans="1:12" s="7" customFormat="1" ht="75">
      <c r="A39" s="1558"/>
      <c r="B39" s="107" t="s">
        <v>1467</v>
      </c>
      <c r="C39" s="1227">
        <v>10000</v>
      </c>
      <c r="D39" s="1227">
        <v>10000</v>
      </c>
      <c r="E39" s="1227"/>
      <c r="F39" s="232"/>
      <c r="G39" s="232"/>
      <c r="H39" s="1497">
        <f t="shared" si="0"/>
        <v>0</v>
      </c>
      <c r="I39" s="1497">
        <f t="shared" si="1"/>
        <v>20000</v>
      </c>
      <c r="J39" s="1435"/>
      <c r="K39" s="1491"/>
      <c r="L39" s="1491"/>
    </row>
    <row r="40" spans="1:12" s="7" customFormat="1" ht="37.5">
      <c r="A40" s="1558"/>
      <c r="B40" s="107" t="s">
        <v>1468</v>
      </c>
      <c r="C40" s="817">
        <v>10000</v>
      </c>
      <c r="D40" s="817">
        <v>10000</v>
      </c>
      <c r="E40" s="184"/>
      <c r="F40" s="232"/>
      <c r="G40" s="232"/>
      <c r="H40" s="1497">
        <f t="shared" si="0"/>
        <v>0</v>
      </c>
      <c r="I40" s="1497">
        <f t="shared" si="1"/>
        <v>20000</v>
      </c>
      <c r="J40" s="1435"/>
      <c r="K40" s="1491"/>
      <c r="L40" s="1491"/>
    </row>
    <row r="41" spans="1:12" s="7" customFormat="1" ht="56.25">
      <c r="A41" s="1558"/>
      <c r="B41" s="107" t="s">
        <v>1469</v>
      </c>
      <c r="C41" s="817">
        <v>10000</v>
      </c>
      <c r="D41" s="817">
        <v>10000</v>
      </c>
      <c r="E41" s="184"/>
      <c r="F41" s="232"/>
      <c r="G41" s="232"/>
      <c r="H41" s="1497">
        <f t="shared" si="0"/>
        <v>0</v>
      </c>
      <c r="I41" s="1497">
        <f t="shared" si="1"/>
        <v>20000</v>
      </c>
      <c r="J41" s="1435"/>
      <c r="K41" s="1491"/>
      <c r="L41" s="1491"/>
    </row>
    <row r="42" spans="1:12" s="7" customFormat="1" ht="83.25" customHeight="1">
      <c r="A42" s="1558"/>
      <c r="B42" s="107" t="s">
        <v>1470</v>
      </c>
      <c r="C42" s="817">
        <v>10000</v>
      </c>
      <c r="D42" s="817"/>
      <c r="E42" s="184">
        <v>10000</v>
      </c>
      <c r="F42" s="232"/>
      <c r="G42" s="232"/>
      <c r="H42" s="1497">
        <f t="shared" si="0"/>
        <v>0</v>
      </c>
      <c r="I42" s="1497">
        <f t="shared" si="1"/>
        <v>20000</v>
      </c>
      <c r="J42" s="1435"/>
      <c r="K42" s="1491"/>
      <c r="L42" s="1491"/>
    </row>
    <row r="43" spans="1:12" s="7" customFormat="1" ht="131.25">
      <c r="A43" s="1558"/>
      <c r="B43" s="107" t="s">
        <v>1471</v>
      </c>
      <c r="C43" s="817">
        <v>20000</v>
      </c>
      <c r="D43" s="817">
        <v>20000</v>
      </c>
      <c r="E43" s="184"/>
      <c r="F43" s="232"/>
      <c r="G43" s="232"/>
      <c r="H43" s="1497">
        <f t="shared" si="0"/>
        <v>0</v>
      </c>
      <c r="I43" s="1497">
        <f t="shared" si="1"/>
        <v>40000</v>
      </c>
      <c r="J43" s="1435"/>
      <c r="K43" s="1491"/>
      <c r="L43" s="1491"/>
    </row>
    <row r="44" spans="1:12" s="7" customFormat="1" ht="37.5">
      <c r="A44" s="1558"/>
      <c r="B44" s="425" t="s">
        <v>1472</v>
      </c>
      <c r="C44" s="817">
        <v>49500</v>
      </c>
      <c r="D44" s="1226">
        <v>39500</v>
      </c>
      <c r="E44" s="1226">
        <v>10000</v>
      </c>
      <c r="F44" s="232"/>
      <c r="G44" s="232"/>
      <c r="H44" s="1497">
        <f t="shared" si="0"/>
        <v>0</v>
      </c>
      <c r="I44" s="1497">
        <f t="shared" si="1"/>
        <v>99000</v>
      </c>
      <c r="J44" s="1435"/>
      <c r="K44" s="1491"/>
      <c r="L44" s="1491"/>
    </row>
    <row r="45" spans="1:12" s="7" customFormat="1" ht="37.5">
      <c r="A45" s="1558"/>
      <c r="B45" s="425" t="s">
        <v>1473</v>
      </c>
      <c r="C45" s="817">
        <v>10612</v>
      </c>
      <c r="D45" s="1226">
        <v>10612</v>
      </c>
      <c r="E45" s="1226"/>
      <c r="F45" s="232"/>
      <c r="G45" s="232"/>
      <c r="H45" s="1497">
        <f t="shared" si="0"/>
        <v>0</v>
      </c>
      <c r="I45" s="1497">
        <f t="shared" si="1"/>
        <v>21224</v>
      </c>
      <c r="J45" s="1435"/>
      <c r="K45" s="1491"/>
      <c r="L45" s="1491"/>
    </row>
    <row r="46" spans="1:12" s="7" customFormat="1" ht="112.5">
      <c r="A46" s="1558"/>
      <c r="B46" s="107" t="s">
        <v>1474</v>
      </c>
      <c r="C46" s="184">
        <v>15000</v>
      </c>
      <c r="D46" s="184">
        <v>15000</v>
      </c>
      <c r="E46" s="184"/>
      <c r="F46" s="232"/>
      <c r="G46" s="232"/>
      <c r="H46" s="1497">
        <f t="shared" si="0"/>
        <v>0</v>
      </c>
      <c r="I46" s="1497">
        <f t="shared" si="1"/>
        <v>30000</v>
      </c>
      <c r="J46" s="1435"/>
      <c r="K46" s="1491"/>
      <c r="L46" s="1491"/>
    </row>
    <row r="47" spans="1:12" s="7" customFormat="1" ht="93.75">
      <c r="A47" s="1558"/>
      <c r="B47" s="107" t="s">
        <v>1475</v>
      </c>
      <c r="C47" s="184">
        <v>28000</v>
      </c>
      <c r="D47" s="184">
        <v>28000</v>
      </c>
      <c r="E47" s="184"/>
      <c r="F47" s="232"/>
      <c r="G47" s="232"/>
      <c r="H47" s="1497">
        <f t="shared" si="0"/>
        <v>0</v>
      </c>
      <c r="I47" s="1497">
        <f t="shared" si="1"/>
        <v>56000</v>
      </c>
      <c r="J47" s="1435"/>
      <c r="K47" s="1491"/>
      <c r="L47" s="1491"/>
    </row>
    <row r="48" spans="1:12" s="7" customFormat="1" ht="93.75">
      <c r="A48" s="1558"/>
      <c r="B48" s="107" t="s">
        <v>1476</v>
      </c>
      <c r="C48" s="184">
        <v>10000</v>
      </c>
      <c r="D48" s="184">
        <v>10000</v>
      </c>
      <c r="E48" s="184"/>
      <c r="F48" s="232"/>
      <c r="G48" s="232"/>
      <c r="H48" s="1497">
        <f t="shared" si="0"/>
        <v>0</v>
      </c>
      <c r="I48" s="1497">
        <f t="shared" si="1"/>
        <v>20000</v>
      </c>
      <c r="J48" s="1435"/>
      <c r="K48" s="1491"/>
      <c r="L48" s="1491"/>
    </row>
    <row r="49" spans="1:12" s="7" customFormat="1" ht="150">
      <c r="A49" s="1558"/>
      <c r="B49" s="107" t="s">
        <v>1477</v>
      </c>
      <c r="C49" s="184">
        <v>14000</v>
      </c>
      <c r="D49" s="184">
        <v>14000</v>
      </c>
      <c r="E49" s="184"/>
      <c r="F49" s="232"/>
      <c r="G49" s="232"/>
      <c r="H49" s="1497">
        <f t="shared" si="0"/>
        <v>0</v>
      </c>
      <c r="I49" s="1497">
        <f t="shared" si="1"/>
        <v>28000</v>
      </c>
      <c r="J49" s="1435"/>
      <c r="K49" s="1491"/>
      <c r="L49" s="1491"/>
    </row>
    <row r="50" spans="1:12" s="7" customFormat="1" ht="112.5">
      <c r="A50" s="1558"/>
      <c r="B50" s="107" t="s">
        <v>1478</v>
      </c>
      <c r="C50" s="184">
        <v>10000</v>
      </c>
      <c r="D50" s="184">
        <v>10000</v>
      </c>
      <c r="E50" s="184"/>
      <c r="F50" s="184">
        <v>25000</v>
      </c>
      <c r="G50" s="184"/>
      <c r="H50" s="1497">
        <f t="shared" si="0"/>
        <v>0</v>
      </c>
      <c r="I50" s="1497">
        <f t="shared" si="1"/>
        <v>20000</v>
      </c>
      <c r="J50" s="1435"/>
      <c r="K50" s="1491"/>
      <c r="L50" s="1491"/>
    </row>
    <row r="51" spans="1:12" s="7" customFormat="1" ht="131.25">
      <c r="A51" s="1558"/>
      <c r="B51" s="107" t="s">
        <v>1479</v>
      </c>
      <c r="C51" s="817">
        <v>10000</v>
      </c>
      <c r="D51" s="817">
        <v>10000</v>
      </c>
      <c r="E51" s="184"/>
      <c r="F51" s="232"/>
      <c r="G51" s="232"/>
      <c r="H51" s="1497">
        <f t="shared" si="0"/>
        <v>0</v>
      </c>
      <c r="I51" s="1497">
        <f t="shared" si="1"/>
        <v>20000</v>
      </c>
      <c r="J51" s="1435"/>
      <c r="K51" s="1491"/>
      <c r="L51" s="1491"/>
    </row>
    <row r="52" spans="1:12" s="7" customFormat="1" ht="56.25">
      <c r="A52" s="1558"/>
      <c r="B52" s="107" t="s">
        <v>1480</v>
      </c>
      <c r="C52" s="817">
        <v>15000</v>
      </c>
      <c r="D52" s="817">
        <v>15000</v>
      </c>
      <c r="E52" s="184"/>
      <c r="F52" s="232"/>
      <c r="G52" s="232"/>
      <c r="H52" s="1497">
        <f t="shared" si="0"/>
        <v>0</v>
      </c>
      <c r="I52" s="1497">
        <f t="shared" si="1"/>
        <v>30000</v>
      </c>
      <c r="J52" s="1435"/>
      <c r="K52" s="1491"/>
      <c r="L52" s="1491"/>
    </row>
    <row r="53" spans="1:12" s="7" customFormat="1" ht="37.5">
      <c r="A53" s="1558"/>
      <c r="B53" s="425" t="s">
        <v>1481</v>
      </c>
      <c r="C53" s="1228">
        <v>6000</v>
      </c>
      <c r="D53" s="1227">
        <v>6000</v>
      </c>
      <c r="E53" s="1227"/>
      <c r="F53" s="232"/>
      <c r="G53" s="232"/>
      <c r="H53" s="1497">
        <f t="shared" si="0"/>
        <v>0</v>
      </c>
      <c r="I53" s="1497">
        <f t="shared" si="1"/>
        <v>12000</v>
      </c>
      <c r="J53" s="1435"/>
      <c r="K53" s="1491"/>
      <c r="L53" s="1491"/>
    </row>
    <row r="54" spans="1:12" s="7" customFormat="1" ht="93.75">
      <c r="A54" s="1558"/>
      <c r="B54" s="425" t="s">
        <v>1482</v>
      </c>
      <c r="C54" s="817">
        <v>35000</v>
      </c>
      <c r="D54" s="817">
        <v>15000</v>
      </c>
      <c r="E54" s="184">
        <v>20000</v>
      </c>
      <c r="F54" s="232"/>
      <c r="G54" s="232"/>
      <c r="H54" s="1497">
        <f t="shared" si="0"/>
        <v>0</v>
      </c>
      <c r="I54" s="1497">
        <f t="shared" si="1"/>
        <v>70000</v>
      </c>
      <c r="J54" s="1435"/>
      <c r="K54" s="1491"/>
      <c r="L54" s="1491"/>
    </row>
    <row r="55" spans="1:12" s="7" customFormat="1" ht="56.25">
      <c r="A55" s="1558"/>
      <c r="B55" s="107" t="s">
        <v>1483</v>
      </c>
      <c r="C55" s="184">
        <v>10000</v>
      </c>
      <c r="D55" s="184">
        <v>10000</v>
      </c>
      <c r="E55" s="184"/>
      <c r="F55" s="232"/>
      <c r="G55" s="232"/>
      <c r="H55" s="1497">
        <f t="shared" si="0"/>
        <v>0</v>
      </c>
      <c r="I55" s="1497">
        <f t="shared" si="1"/>
        <v>20000</v>
      </c>
      <c r="J55" s="1435"/>
      <c r="K55" s="1491"/>
      <c r="L55" s="1491"/>
    </row>
    <row r="56" spans="1:12" s="7" customFormat="1" ht="93.75">
      <c r="A56" s="1558"/>
      <c r="B56" s="107" t="s">
        <v>1484</v>
      </c>
      <c r="C56" s="817">
        <v>25000</v>
      </c>
      <c r="D56" s="817">
        <v>25000</v>
      </c>
      <c r="E56" s="184"/>
      <c r="F56" s="232"/>
      <c r="G56" s="232"/>
      <c r="H56" s="1497">
        <f t="shared" si="0"/>
        <v>0</v>
      </c>
      <c r="I56" s="1497">
        <f t="shared" si="1"/>
        <v>50000</v>
      </c>
      <c r="J56" s="1435"/>
      <c r="K56" s="1491"/>
      <c r="L56" s="1491"/>
    </row>
    <row r="57" spans="1:12" s="7" customFormat="1" ht="75">
      <c r="A57" s="1558"/>
      <c r="B57" s="425" t="s">
        <v>1485</v>
      </c>
      <c r="C57" s="1226">
        <v>10000</v>
      </c>
      <c r="D57" s="1226">
        <v>10000</v>
      </c>
      <c r="E57" s="1227"/>
      <c r="F57" s="232"/>
      <c r="G57" s="232"/>
      <c r="H57" s="1497">
        <f t="shared" si="0"/>
        <v>0</v>
      </c>
      <c r="I57" s="1497">
        <f t="shared" si="1"/>
        <v>20000</v>
      </c>
      <c r="J57" s="1435"/>
      <c r="K57" s="1491"/>
      <c r="L57" s="1491"/>
    </row>
    <row r="58" spans="1:12" s="7" customFormat="1" ht="56.25">
      <c r="A58" s="1558"/>
      <c r="B58" s="425" t="s">
        <v>1486</v>
      </c>
      <c r="C58" s="1226">
        <v>30000</v>
      </c>
      <c r="D58" s="1226">
        <v>30000</v>
      </c>
      <c r="E58" s="1227"/>
      <c r="F58" s="232"/>
      <c r="G58" s="232"/>
      <c r="H58" s="1497">
        <f t="shared" si="0"/>
        <v>0</v>
      </c>
      <c r="I58" s="1497">
        <f t="shared" si="1"/>
        <v>60000</v>
      </c>
      <c r="J58" s="1435"/>
      <c r="K58" s="1491"/>
      <c r="L58" s="1491"/>
    </row>
    <row r="59" spans="1:12" s="7" customFormat="1" ht="37.5">
      <c r="A59" s="1558"/>
      <c r="B59" s="425" t="s">
        <v>1487</v>
      </c>
      <c r="C59" s="1226">
        <v>26000</v>
      </c>
      <c r="D59" s="1226">
        <v>26000</v>
      </c>
      <c r="E59" s="1227"/>
      <c r="F59" s="232"/>
      <c r="G59" s="232"/>
      <c r="H59" s="1497">
        <f t="shared" si="0"/>
        <v>0</v>
      </c>
      <c r="I59" s="1497">
        <f t="shared" si="1"/>
        <v>52000</v>
      </c>
      <c r="J59" s="1435"/>
      <c r="K59" s="1491"/>
      <c r="L59" s="1491"/>
    </row>
    <row r="60" spans="1:12" s="7" customFormat="1" ht="37.5">
      <c r="A60" s="1558"/>
      <c r="B60" s="425" t="s">
        <v>1488</v>
      </c>
      <c r="C60" s="1226">
        <v>10000</v>
      </c>
      <c r="D60" s="1226">
        <v>10000</v>
      </c>
      <c r="E60" s="1227"/>
      <c r="F60" s="232"/>
      <c r="G60" s="232"/>
      <c r="H60" s="1497">
        <f t="shared" si="0"/>
        <v>0</v>
      </c>
      <c r="I60" s="1497">
        <f t="shared" si="1"/>
        <v>20000</v>
      </c>
      <c r="J60" s="1435"/>
      <c r="K60" s="1491"/>
      <c r="L60" s="1491"/>
    </row>
    <row r="61" spans="1:12" s="7" customFormat="1" ht="75">
      <c r="A61" s="1558"/>
      <c r="B61" s="425" t="s">
        <v>1489</v>
      </c>
      <c r="C61" s="1226">
        <v>37000</v>
      </c>
      <c r="D61" s="1226">
        <v>37000</v>
      </c>
      <c r="E61" s="1227"/>
      <c r="F61" s="232"/>
      <c r="G61" s="232"/>
      <c r="H61" s="1497">
        <f t="shared" si="0"/>
        <v>0</v>
      </c>
      <c r="I61" s="1497">
        <f t="shared" si="1"/>
        <v>74000</v>
      </c>
      <c r="J61" s="1435"/>
      <c r="K61" s="1491"/>
      <c r="L61" s="1491"/>
    </row>
    <row r="62" spans="1:12" s="7" customFormat="1" ht="56.25">
      <c r="A62" s="1558"/>
      <c r="B62" s="425" t="s">
        <v>1490</v>
      </c>
      <c r="C62" s="1226">
        <v>25000</v>
      </c>
      <c r="D62" s="1226"/>
      <c r="E62" s="1227">
        <v>25000</v>
      </c>
      <c r="F62" s="232"/>
      <c r="G62" s="232"/>
      <c r="H62" s="1497">
        <f t="shared" si="0"/>
        <v>0</v>
      </c>
      <c r="I62" s="1497">
        <f t="shared" si="1"/>
        <v>50000</v>
      </c>
      <c r="J62" s="1435"/>
      <c r="K62" s="1491"/>
      <c r="L62" s="1491"/>
    </row>
    <row r="63" spans="1:12" s="7" customFormat="1" ht="37.5">
      <c r="A63" s="1558"/>
      <c r="B63" s="425" t="s">
        <v>1491</v>
      </c>
      <c r="C63" s="1226">
        <v>25000</v>
      </c>
      <c r="D63" s="1226">
        <v>25000</v>
      </c>
      <c r="E63" s="1227"/>
      <c r="F63" s="232"/>
      <c r="G63" s="232"/>
      <c r="H63" s="1497">
        <f t="shared" si="0"/>
        <v>0</v>
      </c>
      <c r="I63" s="1497">
        <f t="shared" si="1"/>
        <v>50000</v>
      </c>
      <c r="J63" s="1435"/>
      <c r="K63" s="1491"/>
      <c r="L63" s="1491"/>
    </row>
    <row r="64" spans="1:12" s="7" customFormat="1" ht="93.75">
      <c r="A64" s="1558"/>
      <c r="B64" s="425" t="s">
        <v>1492</v>
      </c>
      <c r="C64" s="1226">
        <v>30000</v>
      </c>
      <c r="D64" s="817"/>
      <c r="E64" s="184">
        <v>30000</v>
      </c>
      <c r="F64" s="232"/>
      <c r="G64" s="232"/>
      <c r="H64" s="1497">
        <f t="shared" si="0"/>
        <v>0</v>
      </c>
      <c r="I64" s="1497">
        <f t="shared" si="1"/>
        <v>60000</v>
      </c>
      <c r="J64" s="1435"/>
      <c r="K64" s="1491"/>
      <c r="L64" s="1491"/>
    </row>
    <row r="65" spans="1:12" s="7" customFormat="1" ht="150">
      <c r="A65" s="1558"/>
      <c r="B65" s="107" t="s">
        <v>1493</v>
      </c>
      <c r="C65" s="184">
        <v>22000</v>
      </c>
      <c r="D65" s="184">
        <v>22000</v>
      </c>
      <c r="E65" s="184"/>
      <c r="F65" s="232"/>
      <c r="G65" s="232"/>
      <c r="H65" s="1497">
        <f t="shared" si="0"/>
        <v>0</v>
      </c>
      <c r="I65" s="1497">
        <f t="shared" si="1"/>
        <v>44000</v>
      </c>
      <c r="J65" s="1435"/>
      <c r="K65" s="1491"/>
      <c r="L65" s="1491"/>
    </row>
    <row r="66" spans="1:12" s="7" customFormat="1" ht="37.5">
      <c r="A66" s="1558"/>
      <c r="B66" s="107" t="s">
        <v>1494</v>
      </c>
      <c r="C66" s="817">
        <v>12000</v>
      </c>
      <c r="D66" s="817"/>
      <c r="E66" s="184">
        <v>12000</v>
      </c>
      <c r="F66" s="232"/>
      <c r="G66" s="232"/>
      <c r="H66" s="1497">
        <f t="shared" si="0"/>
        <v>0</v>
      </c>
      <c r="I66" s="1497">
        <f t="shared" si="1"/>
        <v>24000</v>
      </c>
      <c r="J66" s="1435"/>
      <c r="K66" s="1491"/>
      <c r="L66" s="1491"/>
    </row>
    <row r="67" spans="1:12" s="7" customFormat="1" ht="131.25">
      <c r="A67" s="1558"/>
      <c r="B67" s="107" t="s">
        <v>1479</v>
      </c>
      <c r="C67" s="817">
        <v>15000</v>
      </c>
      <c r="D67" s="817">
        <v>15000</v>
      </c>
      <c r="E67" s="184"/>
      <c r="F67" s="232"/>
      <c r="G67" s="232"/>
      <c r="H67" s="1497">
        <f t="shared" si="0"/>
        <v>0</v>
      </c>
      <c r="I67" s="1497">
        <f t="shared" si="1"/>
        <v>30000</v>
      </c>
      <c r="J67" s="1435"/>
      <c r="K67" s="1491"/>
      <c r="L67" s="1491"/>
    </row>
    <row r="68" spans="1:12" s="7" customFormat="1" ht="75">
      <c r="A68" s="1558"/>
      <c r="B68" s="107" t="s">
        <v>1495</v>
      </c>
      <c r="C68" s="184">
        <v>17000</v>
      </c>
      <c r="D68" s="184">
        <v>7000</v>
      </c>
      <c r="E68" s="184">
        <v>10000</v>
      </c>
      <c r="F68" s="232"/>
      <c r="G68" s="232"/>
      <c r="H68" s="1497">
        <f t="shared" si="0"/>
        <v>0</v>
      </c>
      <c r="I68" s="1497">
        <f t="shared" si="1"/>
        <v>34000</v>
      </c>
      <c r="J68" s="1435"/>
      <c r="K68" s="1491"/>
      <c r="L68" s="1491"/>
    </row>
    <row r="69" spans="1:12" s="7" customFormat="1" ht="56.25">
      <c r="A69" s="1558"/>
      <c r="B69" s="107" t="s">
        <v>1496</v>
      </c>
      <c r="C69" s="817">
        <v>20000</v>
      </c>
      <c r="D69" s="817"/>
      <c r="E69" s="184">
        <v>20000</v>
      </c>
      <c r="F69" s="232"/>
      <c r="G69" s="232"/>
      <c r="H69" s="1497">
        <f t="shared" si="0"/>
        <v>0</v>
      </c>
      <c r="I69" s="1497">
        <f t="shared" si="1"/>
        <v>40000</v>
      </c>
      <c r="J69" s="1435"/>
      <c r="K69" s="1491"/>
      <c r="L69" s="1491"/>
    </row>
    <row r="70" spans="1:12" s="7" customFormat="1" ht="56.25">
      <c r="A70" s="1558"/>
      <c r="B70" s="425" t="s">
        <v>1497</v>
      </c>
      <c r="C70" s="817">
        <v>10000</v>
      </c>
      <c r="D70" s="817">
        <v>10000</v>
      </c>
      <c r="E70" s="184"/>
      <c r="F70" s="232"/>
      <c r="G70" s="232"/>
      <c r="H70" s="1497">
        <f t="shared" si="0"/>
        <v>0</v>
      </c>
      <c r="I70" s="1497">
        <f t="shared" si="1"/>
        <v>20000</v>
      </c>
      <c r="J70" s="1435"/>
      <c r="K70" s="1491"/>
      <c r="L70" s="1491"/>
    </row>
    <row r="71" spans="1:12" s="7" customFormat="1" ht="93.75">
      <c r="A71" s="1558"/>
      <c r="B71" s="425" t="s">
        <v>1498</v>
      </c>
      <c r="C71" s="817">
        <v>10000</v>
      </c>
      <c r="D71" s="817">
        <v>10000</v>
      </c>
      <c r="E71" s="184"/>
      <c r="F71" s="232"/>
      <c r="G71" s="232"/>
      <c r="H71" s="1497">
        <f t="shared" si="0"/>
        <v>0</v>
      </c>
      <c r="I71" s="1497">
        <f t="shared" si="1"/>
        <v>20000</v>
      </c>
      <c r="J71" s="1435"/>
      <c r="K71" s="1491"/>
      <c r="L71" s="1491"/>
    </row>
    <row r="72" spans="1:12" s="7" customFormat="1" ht="93.75">
      <c r="A72" s="1558"/>
      <c r="B72" s="1314" t="s">
        <v>1983</v>
      </c>
      <c r="C72" s="580">
        <v>600000</v>
      </c>
      <c r="D72" s="580"/>
      <c r="E72" s="580">
        <v>600000</v>
      </c>
      <c r="F72" s="232"/>
      <c r="G72" s="232"/>
      <c r="H72" s="1497">
        <f t="shared" si="0"/>
        <v>0</v>
      </c>
      <c r="I72" s="1497">
        <f t="shared" si="1"/>
        <v>1200000</v>
      </c>
      <c r="J72" s="1435"/>
      <c r="K72" s="1491"/>
      <c r="L72" s="1491"/>
    </row>
    <row r="73" spans="1:12" s="7" customFormat="1" ht="93.75">
      <c r="A73" s="1558"/>
      <c r="B73" s="1314" t="s">
        <v>1984</v>
      </c>
      <c r="C73" s="580">
        <v>750000</v>
      </c>
      <c r="D73" s="580"/>
      <c r="E73" s="580">
        <v>750000</v>
      </c>
      <c r="F73" s="232"/>
      <c r="G73" s="232"/>
      <c r="H73" s="1497">
        <f t="shared" ref="H73:H136" si="2">E73+D73-C73</f>
        <v>0</v>
      </c>
      <c r="I73" s="1497">
        <f t="shared" ref="I73:I136" si="3">SUM(C73:E73)</f>
        <v>1500000</v>
      </c>
      <c r="J73" s="1435"/>
      <c r="K73" s="1491"/>
      <c r="L73" s="1491"/>
    </row>
    <row r="74" spans="1:12" s="7" customFormat="1" ht="75">
      <c r="A74" s="1558"/>
      <c r="B74" s="1314" t="s">
        <v>2098</v>
      </c>
      <c r="C74" s="580">
        <v>180000</v>
      </c>
      <c r="D74" s="580"/>
      <c r="E74" s="580">
        <v>180000</v>
      </c>
      <c r="F74" s="232"/>
      <c r="G74" s="232"/>
      <c r="H74" s="1497">
        <f t="shared" si="2"/>
        <v>0</v>
      </c>
      <c r="I74" s="1497">
        <f t="shared" si="3"/>
        <v>360000</v>
      </c>
      <c r="J74" s="1435"/>
      <c r="K74" s="1491"/>
      <c r="L74" s="1491"/>
    </row>
    <row r="75" spans="1:12" s="7" customFormat="1" ht="75">
      <c r="A75" s="1558"/>
      <c r="B75" s="1314" t="s">
        <v>2099</v>
      </c>
      <c r="C75" s="580">
        <v>180000</v>
      </c>
      <c r="D75" s="580"/>
      <c r="E75" s="580">
        <v>180000</v>
      </c>
      <c r="F75" s="232"/>
      <c r="G75" s="232"/>
      <c r="H75" s="1497">
        <f t="shared" si="2"/>
        <v>0</v>
      </c>
      <c r="I75" s="1497">
        <f t="shared" si="3"/>
        <v>360000</v>
      </c>
      <c r="J75" s="1435"/>
      <c r="K75" s="1491"/>
      <c r="L75" s="1491"/>
    </row>
    <row r="76" spans="1:12" s="7" customFormat="1" ht="75">
      <c r="A76" s="1558"/>
      <c r="B76" s="1314" t="s">
        <v>2100</v>
      </c>
      <c r="C76" s="580">
        <v>180000</v>
      </c>
      <c r="D76" s="580"/>
      <c r="E76" s="580">
        <v>180000</v>
      </c>
      <c r="F76" s="232"/>
      <c r="G76" s="232"/>
      <c r="H76" s="1497">
        <f t="shared" si="2"/>
        <v>0</v>
      </c>
      <c r="I76" s="1497">
        <f t="shared" si="3"/>
        <v>360000</v>
      </c>
      <c r="J76" s="1435"/>
      <c r="K76" s="1491"/>
      <c r="L76" s="1491"/>
    </row>
    <row r="77" spans="1:12" s="7" customFormat="1" ht="75">
      <c r="A77" s="1558"/>
      <c r="B77" s="1314" t="s">
        <v>2101</v>
      </c>
      <c r="C77" s="580">
        <v>180000</v>
      </c>
      <c r="D77" s="580"/>
      <c r="E77" s="580">
        <v>180000</v>
      </c>
      <c r="F77" s="232"/>
      <c r="G77" s="232"/>
      <c r="H77" s="1497">
        <f t="shared" si="2"/>
        <v>0</v>
      </c>
      <c r="I77" s="1497">
        <f t="shared" si="3"/>
        <v>360000</v>
      </c>
      <c r="J77" s="1435"/>
      <c r="K77" s="1491"/>
      <c r="L77" s="1491"/>
    </row>
    <row r="78" spans="1:12" s="7" customFormat="1" ht="75">
      <c r="A78" s="1558"/>
      <c r="B78" s="1314" t="s">
        <v>2102</v>
      </c>
      <c r="C78" s="580">
        <v>180000</v>
      </c>
      <c r="D78" s="580"/>
      <c r="E78" s="580">
        <v>180000</v>
      </c>
      <c r="F78" s="232"/>
      <c r="G78" s="232"/>
      <c r="H78" s="1497">
        <f t="shared" si="2"/>
        <v>0</v>
      </c>
      <c r="I78" s="1497">
        <f t="shared" si="3"/>
        <v>360000</v>
      </c>
      <c r="J78" s="1435"/>
      <c r="K78" s="1491"/>
      <c r="L78" s="1491"/>
    </row>
    <row r="79" spans="1:12" s="7" customFormat="1" ht="75">
      <c r="A79" s="1558"/>
      <c r="B79" s="1314" t="s">
        <v>2103</v>
      </c>
      <c r="C79" s="580">
        <v>180000</v>
      </c>
      <c r="D79" s="580"/>
      <c r="E79" s="580">
        <v>180000</v>
      </c>
      <c r="F79" s="232"/>
      <c r="G79" s="232"/>
      <c r="H79" s="1497">
        <f t="shared" si="2"/>
        <v>0</v>
      </c>
      <c r="I79" s="1497">
        <f t="shared" si="3"/>
        <v>360000</v>
      </c>
      <c r="J79" s="1435"/>
      <c r="K79" s="1491"/>
      <c r="L79" s="1491"/>
    </row>
    <row r="80" spans="1:12" s="7" customFormat="1" ht="75">
      <c r="A80" s="1558"/>
      <c r="B80" s="1314" t="s">
        <v>2104</v>
      </c>
      <c r="C80" s="580">
        <v>180000</v>
      </c>
      <c r="D80" s="580"/>
      <c r="E80" s="580">
        <v>180000</v>
      </c>
      <c r="F80" s="232"/>
      <c r="G80" s="232"/>
      <c r="H80" s="1497">
        <f t="shared" si="2"/>
        <v>0</v>
      </c>
      <c r="I80" s="1497">
        <f t="shared" si="3"/>
        <v>360000</v>
      </c>
      <c r="J80" s="1435"/>
      <c r="K80" s="1491"/>
      <c r="L80" s="1491"/>
    </row>
    <row r="81" spans="1:12" s="7" customFormat="1" ht="75">
      <c r="A81" s="1558"/>
      <c r="B81" s="1314" t="s">
        <v>2105</v>
      </c>
      <c r="C81" s="580">
        <v>180000</v>
      </c>
      <c r="D81" s="580"/>
      <c r="E81" s="580">
        <v>180000</v>
      </c>
      <c r="F81" s="232"/>
      <c r="G81" s="232"/>
      <c r="H81" s="1497">
        <f t="shared" si="2"/>
        <v>0</v>
      </c>
      <c r="I81" s="1497">
        <f t="shared" si="3"/>
        <v>360000</v>
      </c>
      <c r="J81" s="1435"/>
      <c r="K81" s="1491"/>
      <c r="L81" s="1491"/>
    </row>
    <row r="82" spans="1:12" s="7" customFormat="1" ht="75">
      <c r="A82" s="1554"/>
      <c r="B82" s="1314" t="s">
        <v>2106</v>
      </c>
      <c r="C82" s="580">
        <v>180000</v>
      </c>
      <c r="D82" s="580"/>
      <c r="E82" s="580">
        <v>180000</v>
      </c>
      <c r="F82" s="232"/>
      <c r="G82" s="232"/>
      <c r="H82" s="1497">
        <f t="shared" si="2"/>
        <v>0</v>
      </c>
      <c r="I82" s="1497">
        <f t="shared" si="3"/>
        <v>360000</v>
      </c>
      <c r="J82" s="1435"/>
      <c r="K82" s="1491"/>
      <c r="L82" s="1491"/>
    </row>
    <row r="83" spans="1:12" s="7" customFormat="1" ht="56.25">
      <c r="A83" s="1554"/>
      <c r="B83" s="1314" t="s">
        <v>1985</v>
      </c>
      <c r="C83" s="580">
        <v>350000</v>
      </c>
      <c r="D83" s="580">
        <v>190000</v>
      </c>
      <c r="E83" s="580">
        <v>160000</v>
      </c>
      <c r="F83" s="232"/>
      <c r="G83" s="232"/>
      <c r="H83" s="1497">
        <f t="shared" si="2"/>
        <v>0</v>
      </c>
      <c r="I83" s="1497">
        <f t="shared" si="3"/>
        <v>700000</v>
      </c>
      <c r="J83" s="1435"/>
      <c r="K83" s="1491"/>
      <c r="L83" s="1491"/>
    </row>
    <row r="84" spans="1:12" s="7" customFormat="1" ht="96.6" hidden="1" customHeight="1">
      <c r="A84" s="1554"/>
      <c r="B84" s="371"/>
      <c r="C84" s="649"/>
      <c r="D84" s="649"/>
      <c r="E84" s="256"/>
      <c r="F84" s="232"/>
      <c r="G84" s="232"/>
      <c r="H84" s="231">
        <f t="shared" si="2"/>
        <v>0</v>
      </c>
      <c r="I84" s="231">
        <f t="shared" si="3"/>
        <v>0</v>
      </c>
    </row>
    <row r="85" spans="1:12" s="7" customFormat="1" hidden="1">
      <c r="A85" s="1554"/>
      <c r="B85" s="371"/>
      <c r="C85" s="649"/>
      <c r="D85" s="649"/>
      <c r="E85" s="256"/>
      <c r="F85" s="232"/>
      <c r="G85" s="232"/>
      <c r="H85" s="231">
        <f t="shared" si="2"/>
        <v>0</v>
      </c>
      <c r="I85" s="231">
        <f t="shared" si="3"/>
        <v>0</v>
      </c>
    </row>
    <row r="86" spans="1:12" s="7" customFormat="1" hidden="1">
      <c r="A86" s="1554"/>
      <c r="B86" s="371"/>
      <c r="C86" s="649"/>
      <c r="D86" s="649"/>
      <c r="E86" s="256"/>
      <c r="F86" s="232"/>
      <c r="G86" s="232"/>
      <c r="H86" s="231">
        <f t="shared" si="2"/>
        <v>0</v>
      </c>
      <c r="I86" s="231">
        <f t="shared" si="3"/>
        <v>0</v>
      </c>
    </row>
    <row r="87" spans="1:12" s="7" customFormat="1" hidden="1">
      <c r="A87" s="1554"/>
      <c r="B87" s="371"/>
      <c r="C87" s="649"/>
      <c r="D87" s="649"/>
      <c r="E87" s="256"/>
      <c r="F87" s="232"/>
      <c r="G87" s="232"/>
      <c r="H87" s="231">
        <f t="shared" si="2"/>
        <v>0</v>
      </c>
      <c r="I87" s="231">
        <f t="shared" si="3"/>
        <v>0</v>
      </c>
    </row>
    <row r="88" spans="1:12" s="7" customFormat="1" ht="58.15" hidden="1" customHeight="1">
      <c r="A88" s="1554"/>
      <c r="B88" s="371"/>
      <c r="C88" s="649"/>
      <c r="D88" s="649"/>
      <c r="E88" s="256"/>
      <c r="F88" s="232"/>
      <c r="G88" s="232"/>
      <c r="H88" s="231">
        <f t="shared" si="2"/>
        <v>0</v>
      </c>
      <c r="I88" s="231">
        <f t="shared" si="3"/>
        <v>0</v>
      </c>
    </row>
    <row r="89" spans="1:12" s="7" customFormat="1" ht="66.599999999999994" hidden="1" customHeight="1">
      <c r="A89" s="1554"/>
      <c r="B89" s="371"/>
      <c r="C89" s="649"/>
      <c r="D89" s="649"/>
      <c r="E89" s="256"/>
      <c r="F89" s="232"/>
      <c r="G89" s="232"/>
      <c r="H89" s="231">
        <f t="shared" si="2"/>
        <v>0</v>
      </c>
      <c r="I89" s="231">
        <f t="shared" si="3"/>
        <v>0</v>
      </c>
    </row>
    <row r="90" spans="1:12" s="7" customFormat="1" hidden="1">
      <c r="A90" s="1554"/>
      <c r="B90" s="371"/>
      <c r="C90" s="649"/>
      <c r="D90" s="649"/>
      <c r="E90" s="256"/>
      <c r="F90" s="232"/>
      <c r="G90" s="232"/>
      <c r="H90" s="231">
        <f t="shared" si="2"/>
        <v>0</v>
      </c>
      <c r="I90" s="231">
        <f t="shared" si="3"/>
        <v>0</v>
      </c>
    </row>
    <row r="91" spans="1:12" s="7" customFormat="1" hidden="1">
      <c r="A91" s="1554"/>
      <c r="B91" s="371"/>
      <c r="C91" s="649"/>
      <c r="D91" s="649"/>
      <c r="E91" s="256"/>
      <c r="F91" s="232"/>
      <c r="G91" s="232"/>
      <c r="H91" s="231">
        <f t="shared" si="2"/>
        <v>0</v>
      </c>
      <c r="I91" s="231">
        <f t="shared" si="3"/>
        <v>0</v>
      </c>
    </row>
    <row r="92" spans="1:12" s="7" customFormat="1" hidden="1">
      <c r="A92" s="1554"/>
      <c r="B92" s="371"/>
      <c r="C92" s="649"/>
      <c r="D92" s="649"/>
      <c r="E92" s="256"/>
      <c r="F92" s="232"/>
      <c r="G92" s="232"/>
      <c r="H92" s="231">
        <f t="shared" si="2"/>
        <v>0</v>
      </c>
      <c r="I92" s="231">
        <f t="shared" si="3"/>
        <v>0</v>
      </c>
    </row>
    <row r="93" spans="1:12" s="7" customFormat="1" hidden="1">
      <c r="A93" s="1554"/>
      <c r="B93" s="371"/>
      <c r="C93" s="649"/>
      <c r="D93" s="649"/>
      <c r="E93" s="256"/>
      <c r="F93" s="232"/>
      <c r="G93" s="232"/>
      <c r="H93" s="231">
        <f t="shared" si="2"/>
        <v>0</v>
      </c>
      <c r="I93" s="231">
        <f t="shared" si="3"/>
        <v>0</v>
      </c>
    </row>
    <row r="94" spans="1:12" s="7" customFormat="1" hidden="1">
      <c r="A94" s="1554"/>
      <c r="B94" s="371"/>
      <c r="C94" s="649"/>
      <c r="D94" s="649"/>
      <c r="E94" s="256"/>
      <c r="F94" s="232"/>
      <c r="G94" s="232"/>
      <c r="H94" s="231">
        <f t="shared" si="2"/>
        <v>0</v>
      </c>
      <c r="I94" s="231">
        <f t="shared" si="3"/>
        <v>0</v>
      </c>
    </row>
    <row r="95" spans="1:12" s="7" customFormat="1" hidden="1">
      <c r="A95" s="1554"/>
      <c r="B95" s="371"/>
      <c r="C95" s="649"/>
      <c r="D95" s="649"/>
      <c r="E95" s="256"/>
      <c r="F95" s="232"/>
      <c r="G95" s="232"/>
      <c r="H95" s="231">
        <f t="shared" si="2"/>
        <v>0</v>
      </c>
      <c r="I95" s="231">
        <f t="shared" si="3"/>
        <v>0</v>
      </c>
    </row>
    <row r="96" spans="1:12" s="7" customFormat="1" hidden="1">
      <c r="A96" s="1554"/>
      <c r="B96" s="371"/>
      <c r="C96" s="649"/>
      <c r="D96" s="649"/>
      <c r="E96" s="256"/>
      <c r="F96" s="232"/>
      <c r="G96" s="232"/>
      <c r="H96" s="231">
        <f t="shared" si="2"/>
        <v>0</v>
      </c>
      <c r="I96" s="231">
        <f t="shared" si="3"/>
        <v>0</v>
      </c>
    </row>
    <row r="97" spans="1:9" s="7" customFormat="1" hidden="1">
      <c r="A97" s="1554"/>
      <c r="B97" s="371"/>
      <c r="C97" s="649"/>
      <c r="D97" s="649"/>
      <c r="E97" s="256"/>
      <c r="F97" s="232"/>
      <c r="G97" s="232"/>
      <c r="H97" s="231">
        <f t="shared" si="2"/>
        <v>0</v>
      </c>
      <c r="I97" s="231">
        <f t="shared" si="3"/>
        <v>0</v>
      </c>
    </row>
    <row r="98" spans="1:9" s="7" customFormat="1" hidden="1">
      <c r="A98" s="1554"/>
      <c r="B98" s="371"/>
      <c r="C98" s="649"/>
      <c r="D98" s="649"/>
      <c r="E98" s="256"/>
      <c r="F98" s="232"/>
      <c r="G98" s="232"/>
      <c r="H98" s="231">
        <f t="shared" si="2"/>
        <v>0</v>
      </c>
      <c r="I98" s="231">
        <f t="shared" si="3"/>
        <v>0</v>
      </c>
    </row>
    <row r="99" spans="1:9" s="7" customFormat="1" hidden="1">
      <c r="A99" s="1554"/>
      <c r="B99" s="371"/>
      <c r="C99" s="649"/>
      <c r="D99" s="649"/>
      <c r="E99" s="256"/>
      <c r="F99" s="232"/>
      <c r="G99" s="232"/>
      <c r="H99" s="231">
        <f t="shared" si="2"/>
        <v>0</v>
      </c>
      <c r="I99" s="231">
        <f t="shared" si="3"/>
        <v>0</v>
      </c>
    </row>
    <row r="100" spans="1:9" s="7" customFormat="1" hidden="1">
      <c r="A100" s="1554"/>
      <c r="B100" s="371"/>
      <c r="C100" s="649"/>
      <c r="D100" s="649"/>
      <c r="E100" s="256"/>
      <c r="F100" s="232"/>
      <c r="G100" s="232"/>
      <c r="H100" s="231">
        <f t="shared" si="2"/>
        <v>0</v>
      </c>
      <c r="I100" s="231">
        <f t="shared" si="3"/>
        <v>0</v>
      </c>
    </row>
    <row r="101" spans="1:9" s="7" customFormat="1" hidden="1">
      <c r="A101" s="1554"/>
      <c r="B101" s="371"/>
      <c r="C101" s="649"/>
      <c r="D101" s="649"/>
      <c r="E101" s="256"/>
      <c r="F101" s="232"/>
      <c r="G101" s="232"/>
      <c r="H101" s="231">
        <f t="shared" si="2"/>
        <v>0</v>
      </c>
      <c r="I101" s="231">
        <f t="shared" si="3"/>
        <v>0</v>
      </c>
    </row>
    <row r="102" spans="1:9" s="7" customFormat="1" hidden="1">
      <c r="A102" s="1554"/>
      <c r="B102" s="371"/>
      <c r="C102" s="649"/>
      <c r="D102" s="649"/>
      <c r="E102" s="256"/>
      <c r="F102" s="232"/>
      <c r="G102" s="232"/>
      <c r="H102" s="231">
        <f t="shared" si="2"/>
        <v>0</v>
      </c>
      <c r="I102" s="231">
        <f t="shared" si="3"/>
        <v>0</v>
      </c>
    </row>
    <row r="103" spans="1:9" s="7" customFormat="1" hidden="1">
      <c r="A103" s="1554"/>
      <c r="B103" s="371"/>
      <c r="C103" s="649"/>
      <c r="D103" s="649"/>
      <c r="E103" s="256"/>
      <c r="F103" s="232"/>
      <c r="G103" s="232"/>
      <c r="H103" s="231">
        <f t="shared" si="2"/>
        <v>0</v>
      </c>
      <c r="I103" s="231">
        <f t="shared" si="3"/>
        <v>0</v>
      </c>
    </row>
    <row r="104" spans="1:9" s="7" customFormat="1" hidden="1">
      <c r="A104" s="1554"/>
      <c r="B104" s="371"/>
      <c r="C104" s="649"/>
      <c r="D104" s="649"/>
      <c r="E104" s="256"/>
      <c r="F104" s="232"/>
      <c r="G104" s="232"/>
      <c r="H104" s="231">
        <f t="shared" si="2"/>
        <v>0</v>
      </c>
      <c r="I104" s="231">
        <f t="shared" si="3"/>
        <v>0</v>
      </c>
    </row>
    <row r="105" spans="1:9" s="7" customFormat="1" hidden="1">
      <c r="A105" s="1554"/>
      <c r="B105" s="425"/>
      <c r="C105" s="580"/>
      <c r="D105" s="580"/>
      <c r="E105" s="580"/>
      <c r="F105" s="232"/>
      <c r="G105" s="232"/>
      <c r="H105" s="231">
        <f t="shared" si="2"/>
        <v>0</v>
      </c>
      <c r="I105" s="231">
        <f t="shared" si="3"/>
        <v>0</v>
      </c>
    </row>
    <row r="106" spans="1:9" s="7" customFormat="1" hidden="1">
      <c r="A106" s="1554"/>
      <c r="B106" s="640"/>
      <c r="C106" s="649"/>
      <c r="D106" s="649"/>
      <c r="E106" s="256"/>
      <c r="F106" s="232"/>
      <c r="G106" s="232"/>
      <c r="H106" s="231">
        <f t="shared" si="2"/>
        <v>0</v>
      </c>
      <c r="I106" s="231">
        <f t="shared" si="3"/>
        <v>0</v>
      </c>
    </row>
    <row r="107" spans="1:9" s="7" customFormat="1" hidden="1">
      <c r="A107" s="1554"/>
      <c r="B107" s="107"/>
      <c r="C107" s="649"/>
      <c r="D107" s="649"/>
      <c r="E107" s="256"/>
      <c r="F107" s="232"/>
      <c r="G107" s="232"/>
      <c r="H107" s="231">
        <f t="shared" si="2"/>
        <v>0</v>
      </c>
      <c r="I107" s="231">
        <f t="shared" si="3"/>
        <v>0</v>
      </c>
    </row>
    <row r="108" spans="1:9" s="7" customFormat="1" hidden="1">
      <c r="A108" s="1554"/>
      <c r="B108" s="425"/>
      <c r="C108" s="649"/>
      <c r="D108" s="649"/>
      <c r="E108" s="256"/>
      <c r="F108" s="232"/>
      <c r="G108" s="232"/>
      <c r="H108" s="231">
        <f t="shared" si="2"/>
        <v>0</v>
      </c>
      <c r="I108" s="231">
        <f t="shared" si="3"/>
        <v>0</v>
      </c>
    </row>
    <row r="109" spans="1:9" s="7" customFormat="1" hidden="1">
      <c r="A109" s="1554"/>
      <c r="B109" s="371"/>
      <c r="C109" s="256"/>
      <c r="D109" s="256"/>
      <c r="E109" s="256"/>
      <c r="F109" s="232"/>
      <c r="G109" s="232"/>
      <c r="H109" s="231">
        <f t="shared" si="2"/>
        <v>0</v>
      </c>
      <c r="I109" s="231">
        <f t="shared" si="3"/>
        <v>0</v>
      </c>
    </row>
    <row r="110" spans="1:9" s="7" customFormat="1" hidden="1">
      <c r="A110" s="1554"/>
      <c r="B110" s="371"/>
      <c r="C110" s="256"/>
      <c r="D110" s="256"/>
      <c r="E110" s="256"/>
      <c r="F110" s="232"/>
      <c r="G110" s="232"/>
      <c r="H110" s="231">
        <f t="shared" si="2"/>
        <v>0</v>
      </c>
      <c r="I110" s="231">
        <f t="shared" si="3"/>
        <v>0</v>
      </c>
    </row>
    <row r="111" spans="1:9" s="7" customFormat="1" hidden="1">
      <c r="A111" s="1554"/>
      <c r="B111" s="371"/>
      <c r="C111" s="256"/>
      <c r="D111" s="256"/>
      <c r="E111" s="256"/>
      <c r="F111" s="232"/>
      <c r="G111" s="232"/>
      <c r="H111" s="231">
        <f t="shared" si="2"/>
        <v>0</v>
      </c>
      <c r="I111" s="231">
        <f t="shared" si="3"/>
        <v>0</v>
      </c>
    </row>
    <row r="112" spans="1:9" s="7" customFormat="1" hidden="1">
      <c r="A112" s="1554"/>
      <c r="B112" s="371"/>
      <c r="C112" s="256"/>
      <c r="D112" s="256"/>
      <c r="E112" s="256"/>
      <c r="F112" s="232"/>
      <c r="G112" s="232"/>
      <c r="H112" s="231">
        <f t="shared" si="2"/>
        <v>0</v>
      </c>
      <c r="I112" s="231">
        <f t="shared" si="3"/>
        <v>0</v>
      </c>
    </row>
    <row r="113" spans="1:9" s="7" customFormat="1" hidden="1">
      <c r="A113" s="1554"/>
      <c r="B113" s="371"/>
      <c r="C113" s="256"/>
      <c r="D113" s="256"/>
      <c r="E113" s="256"/>
      <c r="F113" s="232"/>
      <c r="G113" s="232"/>
      <c r="H113" s="231">
        <f t="shared" si="2"/>
        <v>0</v>
      </c>
      <c r="I113" s="231">
        <f t="shared" si="3"/>
        <v>0</v>
      </c>
    </row>
    <row r="114" spans="1:9" s="7" customFormat="1" hidden="1">
      <c r="A114" s="1554"/>
      <c r="B114" s="371"/>
      <c r="C114" s="256"/>
      <c r="D114" s="256"/>
      <c r="E114" s="256"/>
      <c r="F114" s="232"/>
      <c r="G114" s="232"/>
      <c r="H114" s="231">
        <f t="shared" si="2"/>
        <v>0</v>
      </c>
      <c r="I114" s="231">
        <f t="shared" si="3"/>
        <v>0</v>
      </c>
    </row>
    <row r="115" spans="1:9" s="7" customFormat="1" hidden="1">
      <c r="A115" s="1554"/>
      <c r="B115" s="371"/>
      <c r="C115" s="256"/>
      <c r="D115" s="256"/>
      <c r="E115" s="256"/>
      <c r="F115" s="232"/>
      <c r="G115" s="232"/>
      <c r="H115" s="231">
        <f t="shared" si="2"/>
        <v>0</v>
      </c>
      <c r="I115" s="231">
        <f t="shared" si="3"/>
        <v>0</v>
      </c>
    </row>
    <row r="116" spans="1:9" s="7" customFormat="1" hidden="1">
      <c r="A116" s="1554"/>
      <c r="B116" s="371"/>
      <c r="C116" s="256"/>
      <c r="D116" s="256"/>
      <c r="E116" s="256"/>
      <c r="F116" s="232"/>
      <c r="G116" s="232"/>
      <c r="H116" s="231">
        <f t="shared" si="2"/>
        <v>0</v>
      </c>
      <c r="I116" s="231">
        <f t="shared" si="3"/>
        <v>0</v>
      </c>
    </row>
    <row r="117" spans="1:9" s="7" customFormat="1" hidden="1">
      <c r="A117" s="1554"/>
      <c r="B117" s="371"/>
      <c r="C117" s="256"/>
      <c r="D117" s="256"/>
      <c r="E117" s="256"/>
      <c r="F117" s="232"/>
      <c r="G117" s="232"/>
      <c r="H117" s="231">
        <f t="shared" si="2"/>
        <v>0</v>
      </c>
      <c r="I117" s="231">
        <f t="shared" si="3"/>
        <v>0</v>
      </c>
    </row>
    <row r="118" spans="1:9" s="7" customFormat="1" hidden="1">
      <c r="A118" s="1554"/>
      <c r="B118" s="371"/>
      <c r="C118" s="256"/>
      <c r="D118" s="256"/>
      <c r="E118" s="256"/>
      <c r="F118" s="232"/>
      <c r="G118" s="232"/>
      <c r="H118" s="231">
        <f t="shared" si="2"/>
        <v>0</v>
      </c>
      <c r="I118" s="231">
        <f t="shared" si="3"/>
        <v>0</v>
      </c>
    </row>
    <row r="119" spans="1:9" s="7" customFormat="1" hidden="1">
      <c r="A119" s="1554"/>
      <c r="B119" s="371"/>
      <c r="C119" s="256"/>
      <c r="D119" s="256"/>
      <c r="E119" s="256"/>
      <c r="F119" s="232"/>
      <c r="G119" s="232"/>
      <c r="H119" s="231">
        <f t="shared" si="2"/>
        <v>0</v>
      </c>
      <c r="I119" s="231">
        <f t="shared" si="3"/>
        <v>0</v>
      </c>
    </row>
    <row r="120" spans="1:9" s="7" customFormat="1" hidden="1">
      <c r="A120" s="1554"/>
      <c r="B120" s="371"/>
      <c r="C120" s="256"/>
      <c r="D120" s="256"/>
      <c r="E120" s="256"/>
      <c r="F120" s="232"/>
      <c r="G120" s="232"/>
      <c r="H120" s="231">
        <f t="shared" si="2"/>
        <v>0</v>
      </c>
      <c r="I120" s="231">
        <f t="shared" si="3"/>
        <v>0</v>
      </c>
    </row>
    <row r="121" spans="1:9" s="7" customFormat="1" hidden="1">
      <c r="A121" s="1554"/>
      <c r="B121" s="371"/>
      <c r="C121" s="256"/>
      <c r="D121" s="649"/>
      <c r="E121" s="256"/>
      <c r="F121" s="232"/>
      <c r="G121" s="232"/>
      <c r="H121" s="231">
        <f t="shared" si="2"/>
        <v>0</v>
      </c>
      <c r="I121" s="231">
        <f t="shared" si="3"/>
        <v>0</v>
      </c>
    </row>
    <row r="122" spans="1:9" s="7" customFormat="1" hidden="1">
      <c r="A122" s="1554"/>
      <c r="B122" s="371"/>
      <c r="C122" s="256"/>
      <c r="D122" s="649"/>
      <c r="E122" s="256"/>
      <c r="F122" s="232"/>
      <c r="G122" s="232"/>
      <c r="H122" s="231">
        <f t="shared" si="2"/>
        <v>0</v>
      </c>
      <c r="I122" s="231">
        <f t="shared" si="3"/>
        <v>0</v>
      </c>
    </row>
    <row r="123" spans="1:9" s="7" customFormat="1" hidden="1">
      <c r="A123" s="1554"/>
      <c r="B123" s="371"/>
      <c r="C123" s="256"/>
      <c r="D123" s="649"/>
      <c r="E123" s="256"/>
      <c r="F123" s="232"/>
      <c r="G123" s="232"/>
      <c r="H123" s="231">
        <f t="shared" si="2"/>
        <v>0</v>
      </c>
      <c r="I123" s="231">
        <f t="shared" si="3"/>
        <v>0</v>
      </c>
    </row>
    <row r="124" spans="1:9" s="7" customFormat="1" hidden="1">
      <c r="A124" s="1554"/>
      <c r="B124" s="371"/>
      <c r="C124" s="256"/>
      <c r="D124" s="649"/>
      <c r="E124" s="256"/>
      <c r="F124" s="232"/>
      <c r="G124" s="232"/>
      <c r="H124" s="231">
        <f t="shared" si="2"/>
        <v>0</v>
      </c>
      <c r="I124" s="231">
        <f t="shared" si="3"/>
        <v>0</v>
      </c>
    </row>
    <row r="125" spans="1:9" s="7" customFormat="1" hidden="1">
      <c r="A125" s="1554"/>
      <c r="B125" s="371"/>
      <c r="C125" s="256"/>
      <c r="D125" s="649"/>
      <c r="E125" s="256"/>
      <c r="F125" s="232"/>
      <c r="G125" s="232"/>
      <c r="H125" s="231">
        <f t="shared" si="2"/>
        <v>0</v>
      </c>
      <c r="I125" s="231">
        <f t="shared" si="3"/>
        <v>0</v>
      </c>
    </row>
    <row r="126" spans="1:9" s="7" customFormat="1" hidden="1">
      <c r="A126" s="1554"/>
      <c r="B126" s="371"/>
      <c r="C126" s="256"/>
      <c r="D126" s="649"/>
      <c r="E126" s="256"/>
      <c r="F126" s="232"/>
      <c r="G126" s="232"/>
      <c r="H126" s="231">
        <f t="shared" si="2"/>
        <v>0</v>
      </c>
      <c r="I126" s="231">
        <f t="shared" si="3"/>
        <v>0</v>
      </c>
    </row>
    <row r="127" spans="1:9" s="7" customFormat="1" hidden="1">
      <c r="A127" s="1554"/>
      <c r="B127" s="371"/>
      <c r="C127" s="256"/>
      <c r="D127" s="649"/>
      <c r="E127" s="256"/>
      <c r="F127" s="232"/>
      <c r="G127" s="232"/>
      <c r="H127" s="231">
        <f t="shared" si="2"/>
        <v>0</v>
      </c>
      <c r="I127" s="231">
        <f t="shared" si="3"/>
        <v>0</v>
      </c>
    </row>
    <row r="128" spans="1:9" s="7" customFormat="1" hidden="1">
      <c r="A128" s="1554"/>
      <c r="B128" s="371"/>
      <c r="C128" s="256"/>
      <c r="D128" s="649"/>
      <c r="E128" s="256"/>
      <c r="F128" s="232"/>
      <c r="G128" s="232"/>
      <c r="H128" s="231">
        <f t="shared" si="2"/>
        <v>0</v>
      </c>
      <c r="I128" s="231">
        <f t="shared" si="3"/>
        <v>0</v>
      </c>
    </row>
    <row r="129" spans="1:9" s="7" customFormat="1" hidden="1">
      <c r="A129" s="1554"/>
      <c r="B129" s="425"/>
      <c r="C129" s="649"/>
      <c r="D129" s="649"/>
      <c r="E129" s="256"/>
      <c r="F129" s="232"/>
      <c r="G129" s="232"/>
      <c r="H129" s="231">
        <f t="shared" si="2"/>
        <v>0</v>
      </c>
      <c r="I129" s="231">
        <f t="shared" si="3"/>
        <v>0</v>
      </c>
    </row>
    <row r="130" spans="1:9" s="7" customFormat="1" hidden="1">
      <c r="A130" s="1554"/>
      <c r="B130" s="425"/>
      <c r="C130" s="649"/>
      <c r="D130" s="649"/>
      <c r="E130" s="256"/>
      <c r="F130" s="232"/>
      <c r="G130" s="232"/>
      <c r="H130" s="231">
        <f t="shared" si="2"/>
        <v>0</v>
      </c>
      <c r="I130" s="231">
        <f t="shared" si="3"/>
        <v>0</v>
      </c>
    </row>
    <row r="131" spans="1:9" s="7" customFormat="1" hidden="1">
      <c r="A131" s="1554"/>
      <c r="B131" s="425"/>
      <c r="C131" s="650"/>
      <c r="D131" s="580"/>
      <c r="E131" s="580"/>
      <c r="F131" s="232"/>
      <c r="G131" s="232"/>
      <c r="H131" s="231">
        <f t="shared" si="2"/>
        <v>0</v>
      </c>
      <c r="I131" s="231">
        <f t="shared" si="3"/>
        <v>0</v>
      </c>
    </row>
    <row r="132" spans="1:9" s="7" customFormat="1" hidden="1">
      <c r="A132" s="1554"/>
      <c r="B132" s="425"/>
      <c r="C132" s="649"/>
      <c r="D132" s="649"/>
      <c r="E132" s="256"/>
      <c r="F132" s="232"/>
      <c r="G132" s="232"/>
      <c r="H132" s="231">
        <f t="shared" si="2"/>
        <v>0</v>
      </c>
      <c r="I132" s="231">
        <f t="shared" si="3"/>
        <v>0</v>
      </c>
    </row>
    <row r="133" spans="1:9" s="391" customFormat="1" hidden="1">
      <c r="A133" s="1554"/>
      <c r="B133" s="107"/>
      <c r="C133" s="649"/>
      <c r="D133" s="649"/>
      <c r="E133" s="256"/>
      <c r="F133" s="389"/>
      <c r="G133" s="389"/>
      <c r="H133" s="231">
        <f t="shared" si="2"/>
        <v>0</v>
      </c>
      <c r="I133" s="231">
        <f t="shared" si="3"/>
        <v>0</v>
      </c>
    </row>
    <row r="134" spans="1:9" s="391" customFormat="1" hidden="1">
      <c r="A134" s="1554"/>
      <c r="B134" s="107"/>
      <c r="C134" s="649"/>
      <c r="D134" s="649"/>
      <c r="E134" s="256"/>
      <c r="F134" s="389"/>
      <c r="G134" s="389"/>
      <c r="H134" s="231">
        <f t="shared" si="2"/>
        <v>0</v>
      </c>
      <c r="I134" s="231">
        <f t="shared" si="3"/>
        <v>0</v>
      </c>
    </row>
    <row r="135" spans="1:9" s="391" customFormat="1" hidden="1">
      <c r="A135" s="1554"/>
      <c r="B135" s="107"/>
      <c r="C135" s="256"/>
      <c r="D135" s="256"/>
      <c r="E135" s="256"/>
      <c r="F135" s="389"/>
      <c r="G135" s="389"/>
      <c r="H135" s="231">
        <f t="shared" si="2"/>
        <v>0</v>
      </c>
      <c r="I135" s="231">
        <f t="shared" si="3"/>
        <v>0</v>
      </c>
    </row>
    <row r="136" spans="1:9" s="391" customFormat="1" hidden="1">
      <c r="A136" s="1554"/>
      <c r="B136" s="107"/>
      <c r="C136" s="649"/>
      <c r="D136" s="649"/>
      <c r="E136" s="256"/>
      <c r="F136" s="389"/>
      <c r="G136" s="389"/>
      <c r="H136" s="231">
        <f t="shared" si="2"/>
        <v>0</v>
      </c>
      <c r="I136" s="231">
        <f t="shared" si="3"/>
        <v>0</v>
      </c>
    </row>
    <row r="137" spans="1:9" s="391" customFormat="1" hidden="1">
      <c r="A137" s="1554"/>
      <c r="B137" s="838"/>
      <c r="C137" s="830"/>
      <c r="D137" s="830"/>
      <c r="E137" s="839"/>
      <c r="F137" s="389"/>
      <c r="G137" s="389"/>
      <c r="H137" s="231">
        <f t="shared" ref="H137:H200" si="4">E137+D137-C137</f>
        <v>0</v>
      </c>
      <c r="I137" s="231">
        <f t="shared" ref="I137:I200" si="5">SUM(C137:E137)</f>
        <v>0</v>
      </c>
    </row>
    <row r="138" spans="1:9" s="391" customFormat="1" hidden="1">
      <c r="A138" s="1554"/>
      <c r="B138" s="770"/>
      <c r="C138" s="771"/>
      <c r="D138" s="771"/>
      <c r="E138" s="772"/>
      <c r="F138" s="389"/>
      <c r="G138" s="389"/>
      <c r="H138" s="231">
        <f t="shared" si="4"/>
        <v>0</v>
      </c>
      <c r="I138" s="231">
        <f t="shared" si="5"/>
        <v>0</v>
      </c>
    </row>
    <row r="139" spans="1:9" s="391" customFormat="1" hidden="1">
      <c r="A139" s="1554"/>
      <c r="B139" s="773"/>
      <c r="C139" s="774"/>
      <c r="D139" s="774"/>
      <c r="E139" s="774"/>
      <c r="F139" s="389"/>
      <c r="G139" s="389"/>
      <c r="H139" s="231">
        <f t="shared" si="4"/>
        <v>0</v>
      </c>
      <c r="I139" s="231">
        <f t="shared" si="5"/>
        <v>0</v>
      </c>
    </row>
    <row r="140" spans="1:9" s="391" customFormat="1" hidden="1">
      <c r="A140" s="1554"/>
      <c r="B140" s="770"/>
      <c r="C140" s="771"/>
      <c r="D140" s="771"/>
      <c r="E140" s="772"/>
      <c r="F140" s="389"/>
      <c r="G140" s="389"/>
      <c r="H140" s="231">
        <f t="shared" si="4"/>
        <v>0</v>
      </c>
      <c r="I140" s="231">
        <f t="shared" si="5"/>
        <v>0</v>
      </c>
    </row>
    <row r="141" spans="1:9" s="391" customFormat="1" hidden="1">
      <c r="A141" s="1554"/>
      <c r="B141" s="371"/>
      <c r="C141" s="665"/>
      <c r="D141" s="665"/>
      <c r="E141" s="665"/>
      <c r="F141" s="389"/>
      <c r="G141" s="389"/>
      <c r="H141" s="231">
        <f t="shared" si="4"/>
        <v>0</v>
      </c>
      <c r="I141" s="231">
        <f t="shared" si="5"/>
        <v>0</v>
      </c>
    </row>
    <row r="142" spans="1:9" s="391" customFormat="1" hidden="1">
      <c r="A142" s="1554"/>
      <c r="B142" s="371"/>
      <c r="C142" s="665"/>
      <c r="D142" s="665"/>
      <c r="E142" s="665"/>
      <c r="F142" s="389"/>
      <c r="G142" s="389"/>
      <c r="H142" s="231">
        <f t="shared" si="4"/>
        <v>0</v>
      </c>
      <c r="I142" s="231">
        <f t="shared" si="5"/>
        <v>0</v>
      </c>
    </row>
    <row r="143" spans="1:9" s="391" customFormat="1" hidden="1">
      <c r="A143" s="1554"/>
      <c r="B143" s="371"/>
      <c r="C143" s="665"/>
      <c r="D143" s="665"/>
      <c r="E143" s="665"/>
      <c r="F143" s="389"/>
      <c r="G143" s="389"/>
      <c r="H143" s="231">
        <f t="shared" si="4"/>
        <v>0</v>
      </c>
      <c r="I143" s="231">
        <f t="shared" si="5"/>
        <v>0</v>
      </c>
    </row>
    <row r="144" spans="1:9" s="391" customFormat="1" hidden="1">
      <c r="A144" s="1554"/>
      <c r="B144" s="371"/>
      <c r="C144" s="829"/>
      <c r="D144" s="829"/>
      <c r="E144" s="829"/>
      <c r="F144" s="389"/>
      <c r="G144" s="389"/>
      <c r="H144" s="231">
        <f t="shared" si="4"/>
        <v>0</v>
      </c>
      <c r="I144" s="231">
        <f t="shared" si="5"/>
        <v>0</v>
      </c>
    </row>
    <row r="145" spans="1:9" s="391" customFormat="1" hidden="1">
      <c r="A145" s="1554"/>
      <c r="B145" s="371"/>
      <c r="C145" s="829"/>
      <c r="D145" s="829"/>
      <c r="E145" s="829"/>
      <c r="F145" s="389"/>
      <c r="G145" s="389"/>
      <c r="H145" s="231">
        <f t="shared" si="4"/>
        <v>0</v>
      </c>
      <c r="I145" s="231">
        <f t="shared" si="5"/>
        <v>0</v>
      </c>
    </row>
    <row r="146" spans="1:9" s="391" customFormat="1" hidden="1">
      <c r="A146" s="1554"/>
      <c r="B146" s="371"/>
      <c r="C146" s="665"/>
      <c r="D146" s="665"/>
      <c r="E146" s="665"/>
      <c r="F146" s="389"/>
      <c r="G146" s="389"/>
      <c r="H146" s="231">
        <f t="shared" si="4"/>
        <v>0</v>
      </c>
      <c r="I146" s="231">
        <f t="shared" si="5"/>
        <v>0</v>
      </c>
    </row>
    <row r="147" spans="1:9" s="391" customFormat="1" hidden="1">
      <c r="A147" s="1554"/>
      <c r="B147" s="371"/>
      <c r="C147" s="665"/>
      <c r="D147" s="665"/>
      <c r="E147" s="665"/>
      <c r="F147" s="389"/>
      <c r="G147" s="389"/>
      <c r="H147" s="231">
        <f t="shared" si="4"/>
        <v>0</v>
      </c>
      <c r="I147" s="231">
        <f t="shared" si="5"/>
        <v>0</v>
      </c>
    </row>
    <row r="148" spans="1:9" s="391" customFormat="1" hidden="1">
      <c r="A148" s="1554"/>
      <c r="B148" s="371"/>
      <c r="C148" s="665"/>
      <c r="D148" s="665"/>
      <c r="E148" s="665"/>
      <c r="F148" s="389"/>
      <c r="G148" s="389"/>
      <c r="H148" s="231">
        <f t="shared" si="4"/>
        <v>0</v>
      </c>
      <c r="I148" s="231">
        <f t="shared" si="5"/>
        <v>0</v>
      </c>
    </row>
    <row r="149" spans="1:9" s="7" customFormat="1" hidden="1">
      <c r="A149" s="1554"/>
      <c r="B149" s="371"/>
      <c r="C149" s="665"/>
      <c r="D149" s="665"/>
      <c r="E149" s="665"/>
      <c r="F149" s="232"/>
      <c r="G149" s="232"/>
      <c r="H149" s="231">
        <f t="shared" si="4"/>
        <v>0</v>
      </c>
      <c r="I149" s="231">
        <f t="shared" si="5"/>
        <v>0</v>
      </c>
    </row>
    <row r="150" spans="1:9" s="7" customFormat="1" hidden="1">
      <c r="A150" s="1554"/>
      <c r="B150" s="371"/>
      <c r="C150" s="665"/>
      <c r="D150" s="665"/>
      <c r="E150" s="665"/>
      <c r="F150" s="232"/>
      <c r="G150" s="232"/>
      <c r="H150" s="231">
        <f t="shared" si="4"/>
        <v>0</v>
      </c>
      <c r="I150" s="231">
        <f t="shared" si="5"/>
        <v>0</v>
      </c>
    </row>
    <row r="151" spans="1:9" s="7" customFormat="1" hidden="1">
      <c r="A151" s="1554"/>
      <c r="B151" s="371"/>
      <c r="C151" s="665"/>
      <c r="D151" s="665"/>
      <c r="E151" s="665"/>
      <c r="F151" s="232"/>
      <c r="G151" s="232"/>
      <c r="H151" s="231">
        <f t="shared" si="4"/>
        <v>0</v>
      </c>
      <c r="I151" s="231">
        <f t="shared" si="5"/>
        <v>0</v>
      </c>
    </row>
    <row r="152" spans="1:9" s="7" customFormat="1" hidden="1">
      <c r="A152" s="1554"/>
      <c r="B152" s="371"/>
      <c r="C152" s="665"/>
      <c r="D152" s="665"/>
      <c r="E152" s="665"/>
      <c r="F152" s="232"/>
      <c r="G152" s="232"/>
      <c r="H152" s="231">
        <f t="shared" si="4"/>
        <v>0</v>
      </c>
      <c r="I152" s="231">
        <f t="shared" si="5"/>
        <v>0</v>
      </c>
    </row>
    <row r="153" spans="1:9" s="7" customFormat="1" hidden="1">
      <c r="A153" s="1554"/>
      <c r="B153" s="371"/>
      <c r="C153" s="829"/>
      <c r="D153" s="829"/>
      <c r="E153" s="829"/>
      <c r="F153" s="232"/>
      <c r="G153" s="232"/>
      <c r="H153" s="231">
        <f t="shared" si="4"/>
        <v>0</v>
      </c>
      <c r="I153" s="231">
        <f t="shared" si="5"/>
        <v>0</v>
      </c>
    </row>
    <row r="154" spans="1:9" s="7" customFormat="1" hidden="1">
      <c r="A154" s="1554"/>
      <c r="B154" s="371"/>
      <c r="C154" s="829"/>
      <c r="D154" s="829"/>
      <c r="E154" s="829"/>
      <c r="F154" s="232"/>
      <c r="G154" s="232"/>
      <c r="H154" s="231">
        <f t="shared" si="4"/>
        <v>0</v>
      </c>
      <c r="I154" s="231">
        <f t="shared" si="5"/>
        <v>0</v>
      </c>
    </row>
    <row r="155" spans="1:9" s="7" customFormat="1" hidden="1">
      <c r="A155" s="1554"/>
      <c r="B155" s="371"/>
      <c r="C155" s="665"/>
      <c r="D155" s="665"/>
      <c r="E155" s="665"/>
      <c r="F155" s="232"/>
      <c r="G155" s="232"/>
      <c r="H155" s="231">
        <f t="shared" si="4"/>
        <v>0</v>
      </c>
      <c r="I155" s="231">
        <f t="shared" si="5"/>
        <v>0</v>
      </c>
    </row>
    <row r="156" spans="1:9" s="7" customFormat="1" hidden="1">
      <c r="A156" s="1554"/>
      <c r="B156" s="371"/>
      <c r="C156" s="850"/>
      <c r="D156" s="850"/>
      <c r="E156" s="844"/>
      <c r="F156" s="232"/>
      <c r="G156" s="232"/>
      <c r="H156" s="231">
        <f t="shared" si="4"/>
        <v>0</v>
      </c>
      <c r="I156" s="231">
        <f t="shared" si="5"/>
        <v>0</v>
      </c>
    </row>
    <row r="157" spans="1:9" s="7" customFormat="1" hidden="1">
      <c r="A157" s="1554"/>
      <c r="B157" s="371"/>
      <c r="C157" s="844"/>
      <c r="D157" s="844"/>
      <c r="E157" s="844"/>
      <c r="F157" s="232"/>
      <c r="G157" s="232"/>
      <c r="H157" s="231">
        <f t="shared" si="4"/>
        <v>0</v>
      </c>
      <c r="I157" s="231">
        <f t="shared" si="5"/>
        <v>0</v>
      </c>
    </row>
    <row r="158" spans="1:9" s="7" customFormat="1" hidden="1">
      <c r="A158" s="1554"/>
      <c r="B158" s="371"/>
      <c r="C158" s="844"/>
      <c r="D158" s="853"/>
      <c r="E158" s="853"/>
      <c r="F158" s="232"/>
      <c r="G158" s="232"/>
      <c r="H158" s="231">
        <f t="shared" si="4"/>
        <v>0</v>
      </c>
      <c r="I158" s="231">
        <f t="shared" si="5"/>
        <v>0</v>
      </c>
    </row>
    <row r="159" spans="1:9" s="7" customFormat="1" hidden="1">
      <c r="A159" s="1554"/>
      <c r="B159" s="371"/>
      <c r="C159" s="850"/>
      <c r="D159" s="854"/>
      <c r="E159" s="854"/>
      <c r="F159" s="232"/>
      <c r="G159" s="232"/>
      <c r="H159" s="231">
        <f t="shared" si="4"/>
        <v>0</v>
      </c>
      <c r="I159" s="231">
        <f t="shared" si="5"/>
        <v>0</v>
      </c>
    </row>
    <row r="160" spans="1:9" s="7" customFormat="1" hidden="1">
      <c r="A160" s="1554"/>
      <c r="B160" s="371"/>
      <c r="C160" s="844"/>
      <c r="D160" s="855"/>
      <c r="E160" s="855"/>
      <c r="F160" s="232"/>
      <c r="G160" s="232"/>
      <c r="H160" s="231">
        <f t="shared" si="4"/>
        <v>0</v>
      </c>
      <c r="I160" s="231">
        <f t="shared" si="5"/>
        <v>0</v>
      </c>
    </row>
    <row r="161" spans="1:9" s="7" customFormat="1" hidden="1">
      <c r="A161" s="1554"/>
      <c r="B161" s="371"/>
      <c r="C161" s="851"/>
      <c r="D161" s="851"/>
      <c r="E161" s="852"/>
      <c r="F161" s="232"/>
      <c r="G161" s="232"/>
      <c r="H161" s="231">
        <f t="shared" si="4"/>
        <v>0</v>
      </c>
      <c r="I161" s="231">
        <f t="shared" si="5"/>
        <v>0</v>
      </c>
    </row>
    <row r="162" spans="1:9" s="7" customFormat="1" hidden="1">
      <c r="A162" s="1554"/>
      <c r="B162" s="371"/>
      <c r="C162" s="844"/>
      <c r="D162" s="844"/>
      <c r="E162" s="844"/>
      <c r="F162" s="232"/>
      <c r="G162" s="232"/>
      <c r="H162" s="231">
        <f t="shared" si="4"/>
        <v>0</v>
      </c>
      <c r="I162" s="231">
        <f t="shared" si="5"/>
        <v>0</v>
      </c>
    </row>
    <row r="163" spans="1:9" s="7" customFormat="1" hidden="1">
      <c r="A163" s="1554"/>
      <c r="B163" s="821"/>
      <c r="C163" s="851"/>
      <c r="D163" s="851"/>
      <c r="E163" s="852"/>
      <c r="F163" s="232"/>
      <c r="G163" s="232"/>
      <c r="H163" s="231">
        <f t="shared" si="4"/>
        <v>0</v>
      </c>
      <c r="I163" s="231">
        <f t="shared" si="5"/>
        <v>0</v>
      </c>
    </row>
    <row r="164" spans="1:9" s="7" customFormat="1" hidden="1">
      <c r="A164" s="1554"/>
      <c r="B164" s="821"/>
      <c r="C164" s="851"/>
      <c r="D164" s="851"/>
      <c r="E164" s="852"/>
      <c r="F164" s="232"/>
      <c r="G164" s="232"/>
      <c r="H164" s="231">
        <f t="shared" si="4"/>
        <v>0</v>
      </c>
      <c r="I164" s="231">
        <f t="shared" si="5"/>
        <v>0</v>
      </c>
    </row>
    <row r="165" spans="1:9" s="7" customFormat="1" hidden="1">
      <c r="A165" s="1554"/>
      <c r="B165" s="371"/>
      <c r="C165" s="844"/>
      <c r="D165" s="844"/>
      <c r="E165" s="844"/>
      <c r="F165" s="232"/>
      <c r="G165" s="232"/>
      <c r="H165" s="231">
        <f t="shared" si="4"/>
        <v>0</v>
      </c>
      <c r="I165" s="231">
        <f t="shared" si="5"/>
        <v>0</v>
      </c>
    </row>
    <row r="166" spans="1:9" s="7" customFormat="1" hidden="1">
      <c r="A166" s="1554"/>
      <c r="B166" s="821"/>
      <c r="C166" s="852"/>
      <c r="D166" s="852"/>
      <c r="E166" s="852"/>
      <c r="F166" s="232"/>
      <c r="G166" s="232"/>
      <c r="H166" s="231">
        <f t="shared" si="4"/>
        <v>0</v>
      </c>
      <c r="I166" s="231">
        <f t="shared" si="5"/>
        <v>0</v>
      </c>
    </row>
    <row r="167" spans="1:9" s="7" customFormat="1" hidden="1">
      <c r="A167" s="1554"/>
      <c r="B167" s="371"/>
      <c r="C167" s="851"/>
      <c r="D167" s="851"/>
      <c r="E167" s="852"/>
      <c r="F167" s="232"/>
      <c r="G167" s="232"/>
      <c r="H167" s="231">
        <f t="shared" si="4"/>
        <v>0</v>
      </c>
      <c r="I167" s="231">
        <f t="shared" si="5"/>
        <v>0</v>
      </c>
    </row>
    <row r="168" spans="1:9" s="7" customFormat="1" hidden="1">
      <c r="A168" s="1554"/>
      <c r="B168" s="821"/>
      <c r="C168" s="852"/>
      <c r="D168" s="852"/>
      <c r="E168" s="852"/>
      <c r="F168" s="232"/>
      <c r="G168" s="232"/>
      <c r="H168" s="231">
        <f t="shared" si="4"/>
        <v>0</v>
      </c>
      <c r="I168" s="231">
        <f t="shared" si="5"/>
        <v>0</v>
      </c>
    </row>
    <row r="169" spans="1:9" s="7" customFormat="1" hidden="1">
      <c r="A169" s="1554"/>
      <c r="B169" s="371"/>
      <c r="C169" s="850"/>
      <c r="D169" s="850"/>
      <c r="E169" s="844"/>
      <c r="F169" s="232"/>
      <c r="G169" s="232"/>
      <c r="H169" s="231">
        <f t="shared" si="4"/>
        <v>0</v>
      </c>
      <c r="I169" s="231">
        <f t="shared" si="5"/>
        <v>0</v>
      </c>
    </row>
    <row r="170" spans="1:9" s="7" customFormat="1" hidden="1">
      <c r="A170" s="1554"/>
      <c r="B170" s="371"/>
      <c r="C170" s="850"/>
      <c r="D170" s="850"/>
      <c r="E170" s="844"/>
      <c r="F170" s="232"/>
      <c r="G170" s="232"/>
      <c r="H170" s="231">
        <f t="shared" si="4"/>
        <v>0</v>
      </c>
      <c r="I170" s="231">
        <f t="shared" si="5"/>
        <v>0</v>
      </c>
    </row>
    <row r="171" spans="1:9" s="7" customFormat="1" hidden="1">
      <c r="A171" s="1554"/>
      <c r="B171" s="371"/>
      <c r="C171" s="844"/>
      <c r="D171" s="844"/>
      <c r="E171" s="844"/>
      <c r="F171" s="232"/>
      <c r="G171" s="232"/>
      <c r="H171" s="231">
        <f t="shared" si="4"/>
        <v>0</v>
      </c>
      <c r="I171" s="231">
        <f t="shared" si="5"/>
        <v>0</v>
      </c>
    </row>
    <row r="172" spans="1:9" s="7" customFormat="1" hidden="1">
      <c r="A172" s="1554"/>
      <c r="B172" s="371"/>
      <c r="C172" s="850"/>
      <c r="D172" s="850"/>
      <c r="E172" s="844"/>
      <c r="F172" s="232"/>
      <c r="G172" s="232"/>
      <c r="H172" s="231">
        <f t="shared" si="4"/>
        <v>0</v>
      </c>
      <c r="I172" s="231">
        <f t="shared" si="5"/>
        <v>0</v>
      </c>
    </row>
    <row r="173" spans="1:9" s="7" customFormat="1" hidden="1">
      <c r="A173" s="1554"/>
      <c r="B173" s="371"/>
      <c r="C173" s="850"/>
      <c r="D173" s="850"/>
      <c r="E173" s="850"/>
      <c r="F173" s="232"/>
      <c r="G173" s="232"/>
      <c r="H173" s="231">
        <f t="shared" si="4"/>
        <v>0</v>
      </c>
      <c r="I173" s="231">
        <f t="shared" si="5"/>
        <v>0</v>
      </c>
    </row>
    <row r="174" spans="1:9" s="7" customFormat="1" hidden="1">
      <c r="A174" s="1554"/>
      <c r="B174" s="371"/>
      <c r="C174" s="846"/>
      <c r="D174" s="846"/>
      <c r="E174" s="849"/>
      <c r="F174" s="232"/>
      <c r="G174" s="232"/>
      <c r="H174" s="231">
        <f t="shared" si="4"/>
        <v>0</v>
      </c>
      <c r="I174" s="231">
        <f t="shared" si="5"/>
        <v>0</v>
      </c>
    </row>
    <row r="175" spans="1:9" s="7" customFormat="1" hidden="1">
      <c r="A175" s="1554"/>
      <c r="B175" s="371"/>
      <c r="C175" s="665"/>
      <c r="D175" s="665"/>
      <c r="E175" s="665"/>
      <c r="F175" s="232"/>
      <c r="G175" s="232"/>
      <c r="H175" s="231">
        <f t="shared" si="4"/>
        <v>0</v>
      </c>
      <c r="I175" s="231">
        <f t="shared" si="5"/>
        <v>0</v>
      </c>
    </row>
    <row r="176" spans="1:9" s="7" customFormat="1" hidden="1">
      <c r="A176" s="1554"/>
      <c r="B176" s="371"/>
      <c r="C176" s="665"/>
      <c r="D176" s="665"/>
      <c r="E176" s="665"/>
      <c r="F176" s="232"/>
      <c r="G176" s="232"/>
      <c r="H176" s="231">
        <f t="shared" si="4"/>
        <v>0</v>
      </c>
      <c r="I176" s="231">
        <f t="shared" si="5"/>
        <v>0</v>
      </c>
    </row>
    <row r="177" spans="1:12" s="7" customFormat="1" hidden="1">
      <c r="A177" s="1554"/>
      <c r="B177" s="371"/>
      <c r="C177" s="665"/>
      <c r="D177" s="665"/>
      <c r="E177" s="665"/>
      <c r="F177" s="232"/>
      <c r="G177" s="232"/>
      <c r="H177" s="231">
        <f t="shared" si="4"/>
        <v>0</v>
      </c>
      <c r="I177" s="231">
        <f t="shared" si="5"/>
        <v>0</v>
      </c>
    </row>
    <row r="178" spans="1:12" s="7" customFormat="1" hidden="1">
      <c r="A178" s="1554"/>
      <c r="B178" s="371"/>
      <c r="C178" s="665"/>
      <c r="D178" s="665"/>
      <c r="E178" s="665"/>
      <c r="F178" s="232"/>
      <c r="G178" s="232"/>
      <c r="H178" s="231">
        <f t="shared" si="4"/>
        <v>0</v>
      </c>
      <c r="I178" s="231">
        <f t="shared" si="5"/>
        <v>0</v>
      </c>
    </row>
    <row r="179" spans="1:12" s="7" customFormat="1" hidden="1">
      <c r="A179" s="1554"/>
      <c r="B179" s="371"/>
      <c r="C179" s="665"/>
      <c r="D179" s="665"/>
      <c r="E179" s="665"/>
      <c r="F179" s="232"/>
      <c r="G179" s="232"/>
      <c r="H179" s="231">
        <f t="shared" si="4"/>
        <v>0</v>
      </c>
      <c r="I179" s="231">
        <f t="shared" si="5"/>
        <v>0</v>
      </c>
    </row>
    <row r="180" spans="1:12" s="7" customFormat="1" hidden="1">
      <c r="A180" s="1554"/>
      <c r="B180" s="371"/>
      <c r="C180" s="665"/>
      <c r="D180" s="665"/>
      <c r="E180" s="665"/>
      <c r="F180" s="232"/>
      <c r="G180" s="232"/>
      <c r="H180" s="231">
        <f t="shared" si="4"/>
        <v>0</v>
      </c>
      <c r="I180" s="231">
        <f t="shared" si="5"/>
        <v>0</v>
      </c>
    </row>
    <row r="181" spans="1:12" s="7" customFormat="1" hidden="1">
      <c r="A181" s="1554"/>
      <c r="B181" s="371"/>
      <c r="C181" s="665"/>
      <c r="D181" s="665"/>
      <c r="E181" s="665"/>
      <c r="F181" s="232"/>
      <c r="G181" s="232"/>
      <c r="H181" s="231">
        <f t="shared" si="4"/>
        <v>0</v>
      </c>
      <c r="I181" s="231">
        <f t="shared" si="5"/>
        <v>0</v>
      </c>
    </row>
    <row r="182" spans="1:12" s="7" customFormat="1" hidden="1">
      <c r="A182" s="1554"/>
      <c r="B182" s="371"/>
      <c r="C182" s="665"/>
      <c r="D182" s="665"/>
      <c r="E182" s="665"/>
      <c r="F182" s="232"/>
      <c r="G182" s="232"/>
      <c r="H182" s="231">
        <f t="shared" si="4"/>
        <v>0</v>
      </c>
      <c r="I182" s="231">
        <f t="shared" si="5"/>
        <v>0</v>
      </c>
    </row>
    <row r="183" spans="1:12" s="7" customFormat="1" hidden="1">
      <c r="A183" s="1554"/>
      <c r="B183" s="371"/>
      <c r="C183" s="665"/>
      <c r="D183" s="665"/>
      <c r="E183" s="665"/>
      <c r="F183" s="232"/>
      <c r="G183" s="232"/>
      <c r="H183" s="231">
        <f t="shared" si="4"/>
        <v>0</v>
      </c>
      <c r="I183" s="231">
        <f t="shared" si="5"/>
        <v>0</v>
      </c>
    </row>
    <row r="184" spans="1:12" s="7" customFormat="1" hidden="1">
      <c r="A184" s="1554"/>
      <c r="B184" s="371"/>
      <c r="C184" s="665"/>
      <c r="D184" s="665"/>
      <c r="E184" s="665"/>
      <c r="F184" s="232"/>
      <c r="G184" s="232"/>
      <c r="H184" s="231">
        <f t="shared" si="4"/>
        <v>0</v>
      </c>
      <c r="I184" s="231">
        <f t="shared" si="5"/>
        <v>0</v>
      </c>
    </row>
    <row r="185" spans="1:12" s="7" customFormat="1" hidden="1">
      <c r="A185" s="1554"/>
      <c r="B185" s="371"/>
      <c r="C185" s="665"/>
      <c r="D185" s="665"/>
      <c r="E185" s="665"/>
      <c r="F185" s="232"/>
      <c r="G185" s="232"/>
      <c r="H185" s="231">
        <f t="shared" si="4"/>
        <v>0</v>
      </c>
      <c r="I185" s="231">
        <f t="shared" si="5"/>
        <v>0</v>
      </c>
    </row>
    <row r="186" spans="1:12" s="7" customFormat="1" hidden="1">
      <c r="A186" s="1554"/>
      <c r="B186" s="371"/>
      <c r="C186" s="665"/>
      <c r="D186" s="665"/>
      <c r="E186" s="665"/>
      <c r="F186" s="232"/>
      <c r="G186" s="232"/>
      <c r="H186" s="231">
        <f t="shared" si="4"/>
        <v>0</v>
      </c>
      <c r="I186" s="231">
        <f t="shared" si="5"/>
        <v>0</v>
      </c>
    </row>
    <row r="187" spans="1:12" s="7" customFormat="1" hidden="1">
      <c r="A187" s="1554"/>
      <c r="B187" s="371"/>
      <c r="C187" s="665"/>
      <c r="D187" s="665"/>
      <c r="E187" s="665"/>
      <c r="F187" s="232"/>
      <c r="G187" s="232"/>
      <c r="H187" s="231">
        <f t="shared" si="4"/>
        <v>0</v>
      </c>
      <c r="I187" s="231">
        <f t="shared" si="5"/>
        <v>0</v>
      </c>
    </row>
    <row r="188" spans="1:12" s="7" customFormat="1" ht="18" hidden="1" customHeight="1">
      <c r="A188" s="1554"/>
      <c r="B188" s="107"/>
      <c r="C188" s="654"/>
      <c r="D188" s="654"/>
      <c r="E188" s="256"/>
      <c r="F188" s="232"/>
      <c r="G188" s="232"/>
      <c r="H188" s="231">
        <f t="shared" si="4"/>
        <v>0</v>
      </c>
      <c r="I188" s="231">
        <f t="shared" si="5"/>
        <v>0</v>
      </c>
    </row>
    <row r="189" spans="1:12" s="7" customFormat="1" ht="18" hidden="1" customHeight="1">
      <c r="A189" s="1554"/>
      <c r="B189" s="107"/>
      <c r="C189" s="654"/>
      <c r="D189" s="654"/>
      <c r="E189" s="256"/>
      <c r="F189" s="232"/>
      <c r="G189" s="232"/>
      <c r="H189" s="231">
        <f t="shared" si="4"/>
        <v>0</v>
      </c>
      <c r="I189" s="231">
        <f t="shared" si="5"/>
        <v>0</v>
      </c>
    </row>
    <row r="190" spans="1:12" s="7" customFormat="1" hidden="1">
      <c r="A190" s="1554"/>
      <c r="B190" s="268"/>
      <c r="C190" s="656"/>
      <c r="D190" s="656"/>
      <c r="E190" s="657"/>
      <c r="F190" s="232"/>
      <c r="G190" s="232"/>
      <c r="H190" s="231">
        <f t="shared" si="4"/>
        <v>0</v>
      </c>
      <c r="I190" s="231">
        <f t="shared" si="5"/>
        <v>0</v>
      </c>
    </row>
    <row r="191" spans="1:12" s="210" customFormat="1">
      <c r="A191" s="1566"/>
      <c r="B191" s="209" t="s">
        <v>985</v>
      </c>
      <c r="C191" s="581">
        <f>SUM(C8:C190)</f>
        <v>12730132</v>
      </c>
      <c r="D191" s="581">
        <f>SUM(D8:D190)</f>
        <v>8035632</v>
      </c>
      <c r="E191" s="581">
        <f>SUM(E8:E190)</f>
        <v>4694500</v>
      </c>
      <c r="F191" s="261">
        <f>SUM(F9:F31)</f>
        <v>0</v>
      </c>
      <c r="G191" s="234">
        <f>SUM(G9:G31)</f>
        <v>0</v>
      </c>
      <c r="H191" s="1497">
        <f t="shared" si="4"/>
        <v>0</v>
      </c>
      <c r="I191" s="1497">
        <f t="shared" si="5"/>
        <v>25460264</v>
      </c>
      <c r="J191" s="1498"/>
      <c r="K191" s="1492"/>
      <c r="L191" s="1492"/>
    </row>
    <row r="192" spans="1:12" ht="75">
      <c r="A192" s="1566" t="s">
        <v>1139</v>
      </c>
      <c r="B192" s="181" t="s">
        <v>772</v>
      </c>
      <c r="C192" s="644">
        <v>94600</v>
      </c>
      <c r="D192" s="589">
        <v>94600</v>
      </c>
      <c r="E192" s="644"/>
      <c r="F192" s="232"/>
      <c r="G192" s="232"/>
      <c r="H192" s="1497">
        <f t="shared" si="4"/>
        <v>0</v>
      </c>
      <c r="I192" s="1497">
        <f t="shared" si="5"/>
        <v>189200</v>
      </c>
      <c r="J192" s="1440"/>
      <c r="K192" s="1490"/>
      <c r="L192" s="1490"/>
    </row>
    <row r="193" spans="1:12" ht="37.5">
      <c r="A193" s="1566"/>
      <c r="B193" s="480" t="s">
        <v>1273</v>
      </c>
      <c r="C193" s="590">
        <v>592632</v>
      </c>
      <c r="D193" s="590">
        <v>592632</v>
      </c>
      <c r="E193" s="590"/>
      <c r="F193" s="232"/>
      <c r="G193" s="232"/>
      <c r="H193" s="1497">
        <f t="shared" si="4"/>
        <v>0</v>
      </c>
      <c r="I193" s="1497">
        <f t="shared" si="5"/>
        <v>1185264</v>
      </c>
      <c r="J193" s="1440"/>
      <c r="K193" s="1490"/>
      <c r="L193" s="1490"/>
    </row>
    <row r="194" spans="1:12" ht="112.5">
      <c r="A194" s="1566"/>
      <c r="B194" s="1215" t="s">
        <v>1316</v>
      </c>
      <c r="C194" s="1214">
        <v>50000</v>
      </c>
      <c r="D194" s="256"/>
      <c r="E194" s="256">
        <v>50000</v>
      </c>
      <c r="F194" s="232"/>
      <c r="G194" s="232"/>
      <c r="H194" s="1497">
        <f t="shared" si="4"/>
        <v>0</v>
      </c>
      <c r="I194" s="1497">
        <f t="shared" si="5"/>
        <v>100000</v>
      </c>
      <c r="J194" s="1440"/>
      <c r="K194" s="1490"/>
      <c r="L194" s="1490"/>
    </row>
    <row r="195" spans="1:12" ht="112.5">
      <c r="A195" s="1566"/>
      <c r="B195" s="1215" t="s">
        <v>1317</v>
      </c>
      <c r="C195" s="1214">
        <v>50000</v>
      </c>
      <c r="D195" s="256"/>
      <c r="E195" s="256">
        <v>50000</v>
      </c>
      <c r="F195" s="232"/>
      <c r="G195" s="232"/>
      <c r="H195" s="1497">
        <f t="shared" si="4"/>
        <v>0</v>
      </c>
      <c r="I195" s="1497">
        <f t="shared" si="5"/>
        <v>100000</v>
      </c>
      <c r="J195" s="1440"/>
      <c r="K195" s="1490"/>
      <c r="L195" s="1490"/>
    </row>
    <row r="196" spans="1:12" ht="112.5">
      <c r="A196" s="1566"/>
      <c r="B196" s="1215" t="s">
        <v>1318</v>
      </c>
      <c r="C196" s="1214">
        <v>50000</v>
      </c>
      <c r="D196" s="256"/>
      <c r="E196" s="256">
        <v>50000</v>
      </c>
      <c r="F196" s="232"/>
      <c r="G196" s="232"/>
      <c r="H196" s="1497">
        <f t="shared" si="4"/>
        <v>0</v>
      </c>
      <c r="I196" s="1497">
        <f t="shared" si="5"/>
        <v>100000</v>
      </c>
      <c r="J196" s="1440"/>
      <c r="K196" s="1490"/>
      <c r="L196" s="1490"/>
    </row>
    <row r="197" spans="1:12" ht="112.5">
      <c r="A197" s="1566"/>
      <c r="B197" s="1215" t="s">
        <v>1319</v>
      </c>
      <c r="C197" s="1214">
        <v>50000</v>
      </c>
      <c r="D197" s="256"/>
      <c r="E197" s="256">
        <v>50000</v>
      </c>
      <c r="F197" s="232"/>
      <c r="G197" s="232"/>
      <c r="H197" s="1497">
        <f t="shared" si="4"/>
        <v>0</v>
      </c>
      <c r="I197" s="1497">
        <f t="shared" si="5"/>
        <v>100000</v>
      </c>
      <c r="J197" s="1440"/>
      <c r="K197" s="1490"/>
      <c r="L197" s="1490"/>
    </row>
    <row r="198" spans="1:12" ht="93.75">
      <c r="A198" s="1566"/>
      <c r="B198" s="1215" t="s">
        <v>1320</v>
      </c>
      <c r="C198" s="1214">
        <v>50000</v>
      </c>
      <c r="D198" s="256"/>
      <c r="E198" s="256">
        <v>50000</v>
      </c>
      <c r="F198" s="232"/>
      <c r="G198" s="232"/>
      <c r="H198" s="1497">
        <f t="shared" si="4"/>
        <v>0</v>
      </c>
      <c r="I198" s="1497">
        <f t="shared" si="5"/>
        <v>100000</v>
      </c>
      <c r="J198" s="1440"/>
      <c r="K198" s="1490"/>
      <c r="L198" s="1490"/>
    </row>
    <row r="199" spans="1:12" ht="75">
      <c r="A199" s="1566"/>
      <c r="B199" s="1215" t="s">
        <v>1321</v>
      </c>
      <c r="C199" s="1214">
        <v>53200</v>
      </c>
      <c r="D199" s="256">
        <v>53200</v>
      </c>
      <c r="E199" s="256"/>
      <c r="F199" s="232"/>
      <c r="G199" s="232"/>
      <c r="H199" s="1497">
        <f t="shared" si="4"/>
        <v>0</v>
      </c>
      <c r="I199" s="1497">
        <f t="shared" si="5"/>
        <v>106400</v>
      </c>
      <c r="J199" s="1440"/>
      <c r="K199" s="1490"/>
      <c r="L199" s="1490"/>
    </row>
    <row r="200" spans="1:12" ht="37.5">
      <c r="A200" s="1566"/>
      <c r="B200" s="1215" t="s">
        <v>1322</v>
      </c>
      <c r="C200" s="1214">
        <v>56800</v>
      </c>
      <c r="D200" s="256">
        <v>56800</v>
      </c>
      <c r="E200" s="256"/>
      <c r="F200" s="232"/>
      <c r="G200" s="232"/>
      <c r="H200" s="1497">
        <f t="shared" si="4"/>
        <v>0</v>
      </c>
      <c r="I200" s="1497">
        <f t="shared" si="5"/>
        <v>113600</v>
      </c>
      <c r="J200" s="1440"/>
      <c r="K200" s="1490"/>
      <c r="L200" s="1490"/>
    </row>
    <row r="201" spans="1:12" ht="112.5">
      <c r="A201" s="1566"/>
      <c r="B201" s="1215" t="s">
        <v>1323</v>
      </c>
      <c r="C201" s="1214">
        <v>50000</v>
      </c>
      <c r="D201" s="256"/>
      <c r="E201" s="256">
        <v>50000</v>
      </c>
      <c r="F201" s="232"/>
      <c r="G201" s="232"/>
      <c r="H201" s="1497">
        <f t="shared" ref="H201:H264" si="6">E201+D201-C201</f>
        <v>0</v>
      </c>
      <c r="I201" s="1497">
        <f t="shared" ref="I201:I264" si="7">SUM(C201:E201)</f>
        <v>100000</v>
      </c>
      <c r="J201" s="1440"/>
      <c r="K201" s="1490"/>
      <c r="L201" s="1490"/>
    </row>
    <row r="202" spans="1:12" ht="112.5">
      <c r="A202" s="1566"/>
      <c r="B202" s="1215" t="s">
        <v>1324</v>
      </c>
      <c r="C202" s="1214">
        <v>200000</v>
      </c>
      <c r="D202" s="256"/>
      <c r="E202" s="256">
        <v>200000</v>
      </c>
      <c r="F202" s="232"/>
      <c r="G202" s="232"/>
      <c r="H202" s="1497">
        <f t="shared" si="6"/>
        <v>0</v>
      </c>
      <c r="I202" s="1497">
        <f t="shared" si="7"/>
        <v>400000</v>
      </c>
      <c r="J202" s="1440"/>
      <c r="K202" s="1490"/>
      <c r="L202" s="1490"/>
    </row>
    <row r="203" spans="1:12" ht="75">
      <c r="A203" s="1566"/>
      <c r="B203" s="1216" t="s">
        <v>1325</v>
      </c>
      <c r="C203" s="1217">
        <v>15000</v>
      </c>
      <c r="D203" s="1218"/>
      <c r="E203" s="1218">
        <v>15000</v>
      </c>
      <c r="F203" s="232"/>
      <c r="G203" s="232"/>
      <c r="H203" s="1497">
        <f t="shared" si="6"/>
        <v>0</v>
      </c>
      <c r="I203" s="1497">
        <f t="shared" si="7"/>
        <v>30000</v>
      </c>
      <c r="J203" s="1440"/>
      <c r="K203" s="1490"/>
      <c r="L203" s="1490"/>
    </row>
    <row r="204" spans="1:12" ht="56.25">
      <c r="A204" s="1566"/>
      <c r="B204" s="1215" t="s">
        <v>1326</v>
      </c>
      <c r="C204" s="1214">
        <v>200000</v>
      </c>
      <c r="D204" s="256"/>
      <c r="E204" s="256">
        <v>200000</v>
      </c>
      <c r="F204" s="232"/>
      <c r="G204" s="232"/>
      <c r="H204" s="1497">
        <f t="shared" si="6"/>
        <v>0</v>
      </c>
      <c r="I204" s="1497">
        <f t="shared" si="7"/>
        <v>400000</v>
      </c>
      <c r="J204" s="1440"/>
      <c r="K204" s="1490"/>
      <c r="L204" s="1490"/>
    </row>
    <row r="205" spans="1:12" ht="37.5">
      <c r="A205" s="1566"/>
      <c r="B205" s="1216" t="s">
        <v>1327</v>
      </c>
      <c r="C205" s="1217">
        <v>10430</v>
      </c>
      <c r="D205" s="1218">
        <v>10430</v>
      </c>
      <c r="E205" s="1218"/>
      <c r="F205" s="232"/>
      <c r="G205" s="232"/>
      <c r="H205" s="1497">
        <f t="shared" si="6"/>
        <v>0</v>
      </c>
      <c r="I205" s="1497">
        <f t="shared" si="7"/>
        <v>20860</v>
      </c>
      <c r="J205" s="1440"/>
      <c r="K205" s="1490"/>
      <c r="L205" s="1490"/>
    </row>
    <row r="206" spans="1:12" ht="56.25">
      <c r="A206" s="1566"/>
      <c r="B206" s="1216" t="s">
        <v>1328</v>
      </c>
      <c r="C206" s="1217">
        <v>10000</v>
      </c>
      <c r="D206" s="1218"/>
      <c r="E206" s="1218">
        <v>10000</v>
      </c>
      <c r="F206" s="232"/>
      <c r="G206" s="232"/>
      <c r="H206" s="1497">
        <f t="shared" si="6"/>
        <v>0</v>
      </c>
      <c r="I206" s="1497">
        <f t="shared" si="7"/>
        <v>20000</v>
      </c>
      <c r="J206" s="1440"/>
      <c r="K206" s="1490"/>
      <c r="L206" s="1490"/>
    </row>
    <row r="207" spans="1:12" ht="131.25">
      <c r="A207" s="1566"/>
      <c r="B207" s="1216" t="s">
        <v>1329</v>
      </c>
      <c r="C207" s="1217">
        <v>20000</v>
      </c>
      <c r="D207" s="1218">
        <v>20000</v>
      </c>
      <c r="E207" s="1218"/>
      <c r="F207" s="232"/>
      <c r="G207" s="232"/>
      <c r="H207" s="1497">
        <f t="shared" si="6"/>
        <v>0</v>
      </c>
      <c r="I207" s="1497">
        <f t="shared" si="7"/>
        <v>40000</v>
      </c>
      <c r="J207" s="1440"/>
      <c r="K207" s="1490"/>
      <c r="L207" s="1490"/>
    </row>
    <row r="208" spans="1:12" ht="37.5">
      <c r="A208" s="1566"/>
      <c r="B208" s="107" t="s">
        <v>1330</v>
      </c>
      <c r="C208" s="1217">
        <v>100000</v>
      </c>
      <c r="D208" s="1218"/>
      <c r="E208" s="1218">
        <v>100000</v>
      </c>
      <c r="F208" s="232"/>
      <c r="G208" s="232"/>
      <c r="H208" s="1497">
        <f t="shared" si="6"/>
        <v>0</v>
      </c>
      <c r="I208" s="1497">
        <f t="shared" si="7"/>
        <v>200000</v>
      </c>
      <c r="J208" s="1440"/>
      <c r="K208" s="1490"/>
      <c r="L208" s="1490"/>
    </row>
    <row r="209" spans="1:12" ht="56.25">
      <c r="A209" s="1566"/>
      <c r="B209" s="107" t="s">
        <v>1331</v>
      </c>
      <c r="C209" s="1214">
        <v>100000</v>
      </c>
      <c r="D209" s="256"/>
      <c r="E209" s="256">
        <v>100000</v>
      </c>
      <c r="F209" s="232"/>
      <c r="G209" s="232"/>
      <c r="H209" s="1497">
        <f t="shared" si="6"/>
        <v>0</v>
      </c>
      <c r="I209" s="1497">
        <f t="shared" si="7"/>
        <v>200000</v>
      </c>
      <c r="J209" s="1440"/>
      <c r="K209" s="1490"/>
      <c r="L209" s="1490"/>
    </row>
    <row r="210" spans="1:12" ht="75">
      <c r="A210" s="1566"/>
      <c r="B210" s="107" t="s">
        <v>1332</v>
      </c>
      <c r="C210" s="1214">
        <v>25000</v>
      </c>
      <c r="D210" s="256"/>
      <c r="E210" s="256">
        <v>25000</v>
      </c>
      <c r="F210" s="232"/>
      <c r="G210" s="232"/>
      <c r="H210" s="1497">
        <f t="shared" si="6"/>
        <v>0</v>
      </c>
      <c r="I210" s="1497">
        <f t="shared" si="7"/>
        <v>50000</v>
      </c>
      <c r="J210" s="1440"/>
      <c r="K210" s="1490"/>
      <c r="L210" s="1490"/>
    </row>
    <row r="211" spans="1:12" ht="112.5">
      <c r="A211" s="1566"/>
      <c r="B211" s="1215" t="s">
        <v>1333</v>
      </c>
      <c r="C211" s="1214">
        <v>20000</v>
      </c>
      <c r="D211" s="1214">
        <v>20000</v>
      </c>
      <c r="E211" s="1214"/>
      <c r="F211" s="232"/>
      <c r="G211" s="232"/>
      <c r="H211" s="1497">
        <f t="shared" si="6"/>
        <v>0</v>
      </c>
      <c r="I211" s="1497">
        <f t="shared" si="7"/>
        <v>40000</v>
      </c>
      <c r="J211" s="1440"/>
      <c r="K211" s="1490"/>
      <c r="L211" s="1490"/>
    </row>
    <row r="212" spans="1:12" ht="56.25">
      <c r="A212" s="1566"/>
      <c r="B212" s="107" t="s">
        <v>1499</v>
      </c>
      <c r="C212" s="817">
        <v>6000</v>
      </c>
      <c r="D212" s="817">
        <v>6000</v>
      </c>
      <c r="E212" s="817"/>
      <c r="F212" s="232"/>
      <c r="G212" s="232"/>
      <c r="H212" s="1497">
        <f t="shared" si="6"/>
        <v>0</v>
      </c>
      <c r="I212" s="1497">
        <f t="shared" si="7"/>
        <v>12000</v>
      </c>
      <c r="J212" s="1440"/>
      <c r="K212" s="1490"/>
      <c r="L212" s="1490"/>
    </row>
    <row r="213" spans="1:12" ht="93.75">
      <c r="A213" s="1566"/>
      <c r="B213" s="107" t="s">
        <v>1500</v>
      </c>
      <c r="C213" s="817">
        <v>30000</v>
      </c>
      <c r="D213" s="817">
        <v>12000</v>
      </c>
      <c r="E213" s="817">
        <v>18000</v>
      </c>
      <c r="F213" s="232"/>
      <c r="G213" s="232"/>
      <c r="H213" s="1497">
        <f t="shared" si="6"/>
        <v>0</v>
      </c>
      <c r="I213" s="1497">
        <f t="shared" si="7"/>
        <v>60000</v>
      </c>
      <c r="J213" s="1440"/>
      <c r="K213" s="1490"/>
      <c r="L213" s="1490"/>
    </row>
    <row r="214" spans="1:12" ht="75">
      <c r="A214" s="1566"/>
      <c r="B214" s="107" t="s">
        <v>1501</v>
      </c>
      <c r="C214" s="817">
        <v>25000</v>
      </c>
      <c r="D214" s="817"/>
      <c r="E214" s="184">
        <v>25000</v>
      </c>
      <c r="F214" s="232"/>
      <c r="G214" s="232"/>
      <c r="H214" s="1497">
        <f t="shared" si="6"/>
        <v>0</v>
      </c>
      <c r="I214" s="1497">
        <f t="shared" si="7"/>
        <v>50000</v>
      </c>
      <c r="J214" s="1440"/>
      <c r="K214" s="1490"/>
      <c r="L214" s="1490"/>
    </row>
    <row r="215" spans="1:12" ht="56.25">
      <c r="A215" s="1566"/>
      <c r="B215" s="107" t="s">
        <v>1502</v>
      </c>
      <c r="C215" s="817">
        <v>10000</v>
      </c>
      <c r="D215" s="817">
        <v>10000</v>
      </c>
      <c r="E215" s="184"/>
      <c r="F215" s="232"/>
      <c r="G215" s="232"/>
      <c r="H215" s="1497">
        <f t="shared" si="6"/>
        <v>0</v>
      </c>
      <c r="I215" s="1497">
        <f t="shared" si="7"/>
        <v>20000</v>
      </c>
      <c r="J215" s="1440"/>
      <c r="K215" s="1490"/>
      <c r="L215" s="1490"/>
    </row>
    <row r="216" spans="1:12" ht="93.75">
      <c r="A216" s="1566"/>
      <c r="B216" s="107" t="s">
        <v>1503</v>
      </c>
      <c r="C216" s="184">
        <v>15000</v>
      </c>
      <c r="D216" s="184"/>
      <c r="E216" s="184">
        <v>15000</v>
      </c>
      <c r="F216" s="232"/>
      <c r="G216" s="232"/>
      <c r="H216" s="1497">
        <f t="shared" si="6"/>
        <v>0</v>
      </c>
      <c r="I216" s="1497">
        <f t="shared" si="7"/>
        <v>30000</v>
      </c>
      <c r="J216" s="1440"/>
      <c r="K216" s="1490"/>
      <c r="L216" s="1490"/>
    </row>
    <row r="217" spans="1:12" ht="75">
      <c r="A217" s="1566"/>
      <c r="B217" s="107" t="s">
        <v>1504</v>
      </c>
      <c r="C217" s="184">
        <v>7000</v>
      </c>
      <c r="D217" s="184">
        <v>7000</v>
      </c>
      <c r="E217" s="184"/>
      <c r="F217" s="232"/>
      <c r="G217" s="232"/>
      <c r="H217" s="1497">
        <f t="shared" si="6"/>
        <v>0</v>
      </c>
      <c r="I217" s="1497">
        <f t="shared" si="7"/>
        <v>14000</v>
      </c>
      <c r="J217" s="1440"/>
      <c r="K217" s="1490"/>
      <c r="L217" s="1490"/>
    </row>
    <row r="218" spans="1:12" ht="93.75">
      <c r="A218" s="1566"/>
      <c r="B218" s="107" t="s">
        <v>1505</v>
      </c>
      <c r="C218" s="184">
        <v>35000</v>
      </c>
      <c r="D218" s="184"/>
      <c r="E218" s="184">
        <v>35000</v>
      </c>
      <c r="F218" s="232"/>
      <c r="G218" s="232"/>
      <c r="H218" s="1497">
        <f t="shared" si="6"/>
        <v>0</v>
      </c>
      <c r="I218" s="1497">
        <f t="shared" si="7"/>
        <v>70000</v>
      </c>
      <c r="J218" s="1440"/>
      <c r="K218" s="1490"/>
      <c r="L218" s="1490"/>
    </row>
    <row r="219" spans="1:12" ht="93.75">
      <c r="A219" s="1566"/>
      <c r="B219" s="107" t="s">
        <v>1506</v>
      </c>
      <c r="C219" s="184">
        <v>30600</v>
      </c>
      <c r="D219" s="184"/>
      <c r="E219" s="184">
        <v>30600</v>
      </c>
      <c r="F219" s="232"/>
      <c r="G219" s="232"/>
      <c r="H219" s="1497">
        <f t="shared" si="6"/>
        <v>0</v>
      </c>
      <c r="I219" s="1497">
        <f t="shared" si="7"/>
        <v>61200</v>
      </c>
      <c r="J219" s="1440"/>
      <c r="K219" s="1490"/>
      <c r="L219" s="1490"/>
    </row>
    <row r="220" spans="1:12" ht="112.5">
      <c r="A220" s="1566"/>
      <c r="B220" s="107" t="s">
        <v>1507</v>
      </c>
      <c r="C220" s="184">
        <v>55200</v>
      </c>
      <c r="D220" s="184"/>
      <c r="E220" s="184">
        <v>55200</v>
      </c>
      <c r="F220" s="232"/>
      <c r="G220" s="232"/>
      <c r="H220" s="1497">
        <f t="shared" si="6"/>
        <v>0</v>
      </c>
      <c r="I220" s="1497">
        <f t="shared" si="7"/>
        <v>110400</v>
      </c>
      <c r="J220" s="1440"/>
      <c r="K220" s="1490"/>
      <c r="L220" s="1490"/>
    </row>
    <row r="221" spans="1:12" ht="112.5">
      <c r="A221" s="1566"/>
      <c r="B221" s="107" t="s">
        <v>1508</v>
      </c>
      <c r="C221" s="184">
        <v>41200</v>
      </c>
      <c r="D221" s="184"/>
      <c r="E221" s="184">
        <v>41200</v>
      </c>
      <c r="F221" s="232"/>
      <c r="G221" s="232"/>
      <c r="H221" s="1497">
        <f t="shared" si="6"/>
        <v>0</v>
      </c>
      <c r="I221" s="1497">
        <f t="shared" si="7"/>
        <v>82400</v>
      </c>
      <c r="J221" s="1440"/>
      <c r="K221" s="1490"/>
      <c r="L221" s="1490"/>
    </row>
    <row r="222" spans="1:12" ht="56.25">
      <c r="A222" s="1566"/>
      <c r="B222" s="107" t="s">
        <v>1509</v>
      </c>
      <c r="C222" s="184">
        <v>25000</v>
      </c>
      <c r="D222" s="184"/>
      <c r="E222" s="184">
        <v>25000</v>
      </c>
      <c r="F222" s="232"/>
      <c r="G222" s="232"/>
      <c r="H222" s="1497">
        <f t="shared" si="6"/>
        <v>0</v>
      </c>
      <c r="I222" s="1497">
        <f t="shared" si="7"/>
        <v>50000</v>
      </c>
      <c r="J222" s="1440"/>
      <c r="K222" s="1490"/>
      <c r="L222" s="1490"/>
    </row>
    <row r="223" spans="1:12" ht="112.5">
      <c r="A223" s="1566"/>
      <c r="B223" s="107" t="s">
        <v>1510</v>
      </c>
      <c r="C223" s="817">
        <v>30000</v>
      </c>
      <c r="D223" s="817"/>
      <c r="E223" s="184">
        <v>30000</v>
      </c>
      <c r="F223" s="232"/>
      <c r="G223" s="232"/>
      <c r="H223" s="1497">
        <f t="shared" si="6"/>
        <v>0</v>
      </c>
      <c r="I223" s="1497">
        <f t="shared" si="7"/>
        <v>60000</v>
      </c>
      <c r="J223" s="1440"/>
      <c r="K223" s="1490"/>
      <c r="L223" s="1490"/>
    </row>
    <row r="224" spans="1:12" ht="75">
      <c r="A224" s="1566"/>
      <c r="B224" s="107" t="s">
        <v>1511</v>
      </c>
      <c r="C224" s="817">
        <v>102000</v>
      </c>
      <c r="D224" s="817"/>
      <c r="E224" s="184">
        <v>102000</v>
      </c>
      <c r="F224" s="232"/>
      <c r="G224" s="232"/>
      <c r="H224" s="1497">
        <f t="shared" si="6"/>
        <v>0</v>
      </c>
      <c r="I224" s="1497">
        <f t="shared" si="7"/>
        <v>204000</v>
      </c>
      <c r="J224" s="1440"/>
      <c r="K224" s="1490"/>
      <c r="L224" s="1490"/>
    </row>
    <row r="225" spans="1:12" ht="75">
      <c r="A225" s="1566"/>
      <c r="B225" s="107" t="s">
        <v>1512</v>
      </c>
      <c r="C225" s="817">
        <v>15000</v>
      </c>
      <c r="D225" s="817"/>
      <c r="E225" s="184">
        <v>15000</v>
      </c>
      <c r="F225" s="232"/>
      <c r="G225" s="232"/>
      <c r="H225" s="1497">
        <f t="shared" si="6"/>
        <v>0</v>
      </c>
      <c r="I225" s="1497">
        <f t="shared" si="7"/>
        <v>30000</v>
      </c>
      <c r="J225" s="1440"/>
      <c r="K225" s="1490"/>
      <c r="L225" s="1490"/>
    </row>
    <row r="226" spans="1:12" ht="112.5">
      <c r="A226" s="1566"/>
      <c r="B226" s="107" t="s">
        <v>1513</v>
      </c>
      <c r="C226" s="184">
        <v>30112</v>
      </c>
      <c r="D226" s="184"/>
      <c r="E226" s="184">
        <v>30112</v>
      </c>
      <c r="F226" s="232"/>
      <c r="G226" s="232"/>
      <c r="H226" s="1497">
        <f t="shared" si="6"/>
        <v>0</v>
      </c>
      <c r="I226" s="1497">
        <f t="shared" si="7"/>
        <v>60224</v>
      </c>
      <c r="J226" s="1440"/>
      <c r="K226" s="1490"/>
      <c r="L226" s="1490"/>
    </row>
    <row r="227" spans="1:12" ht="75">
      <c r="A227" s="1566"/>
      <c r="B227" s="425" t="s">
        <v>1514</v>
      </c>
      <c r="C227" s="1226">
        <v>10000</v>
      </c>
      <c r="D227" s="1226">
        <v>10000</v>
      </c>
      <c r="E227" s="1227"/>
      <c r="F227" s="232"/>
      <c r="G227" s="232"/>
      <c r="H227" s="1497">
        <f t="shared" si="6"/>
        <v>0</v>
      </c>
      <c r="I227" s="1497">
        <f t="shared" si="7"/>
        <v>20000</v>
      </c>
      <c r="J227" s="1440"/>
      <c r="K227" s="1490"/>
      <c r="L227" s="1490"/>
    </row>
    <row r="228" spans="1:12" ht="150">
      <c r="A228" s="1566"/>
      <c r="B228" s="425" t="s">
        <v>1515</v>
      </c>
      <c r="C228" s="1226">
        <v>11960</v>
      </c>
      <c r="D228" s="1226">
        <v>3335</v>
      </c>
      <c r="E228" s="1227">
        <v>8625</v>
      </c>
      <c r="F228" s="232"/>
      <c r="G228" s="232"/>
      <c r="H228" s="1497">
        <f t="shared" si="6"/>
        <v>0</v>
      </c>
      <c r="I228" s="1497">
        <f t="shared" si="7"/>
        <v>23920</v>
      </c>
      <c r="J228" s="1440"/>
      <c r="K228" s="1490"/>
      <c r="L228" s="1490"/>
    </row>
    <row r="229" spans="1:12" ht="56.25">
      <c r="A229" s="1566"/>
      <c r="B229" s="425" t="s">
        <v>1516</v>
      </c>
      <c r="C229" s="1226">
        <v>10000</v>
      </c>
      <c r="D229" s="1226">
        <v>10000</v>
      </c>
      <c r="E229" s="1227"/>
      <c r="F229" s="232"/>
      <c r="G229" s="232"/>
      <c r="H229" s="1497">
        <f t="shared" si="6"/>
        <v>0</v>
      </c>
      <c r="I229" s="1497">
        <f t="shared" si="7"/>
        <v>20000</v>
      </c>
      <c r="J229" s="1440"/>
      <c r="K229" s="1490"/>
      <c r="L229" s="1490"/>
    </row>
    <row r="230" spans="1:12" ht="75">
      <c r="A230" s="1566"/>
      <c r="B230" s="425" t="s">
        <v>1517</v>
      </c>
      <c r="C230" s="1226">
        <v>10000</v>
      </c>
      <c r="D230" s="1226">
        <v>10000</v>
      </c>
      <c r="E230" s="1227"/>
      <c r="F230" s="232"/>
      <c r="G230" s="232"/>
      <c r="H230" s="1497">
        <f t="shared" si="6"/>
        <v>0</v>
      </c>
      <c r="I230" s="1497">
        <f t="shared" si="7"/>
        <v>20000</v>
      </c>
      <c r="J230" s="1440"/>
      <c r="K230" s="1490"/>
      <c r="L230" s="1490"/>
    </row>
    <row r="231" spans="1:12" ht="112.5">
      <c r="A231" s="1566"/>
      <c r="B231" s="425" t="s">
        <v>1518</v>
      </c>
      <c r="C231" s="1226">
        <v>40000</v>
      </c>
      <c r="D231" s="1226"/>
      <c r="E231" s="1227">
        <v>40000</v>
      </c>
      <c r="F231" s="232"/>
      <c r="G231" s="232"/>
      <c r="H231" s="1497">
        <f t="shared" si="6"/>
        <v>0</v>
      </c>
      <c r="I231" s="1497">
        <f t="shared" si="7"/>
        <v>80000</v>
      </c>
      <c r="J231" s="1440"/>
      <c r="K231" s="1490"/>
      <c r="L231" s="1490"/>
    </row>
    <row r="232" spans="1:12" ht="56.25">
      <c r="A232" s="1566"/>
      <c r="B232" s="425" t="s">
        <v>1519</v>
      </c>
      <c r="C232" s="1226">
        <v>10058</v>
      </c>
      <c r="D232" s="1226">
        <v>3858</v>
      </c>
      <c r="E232" s="1227">
        <v>6200</v>
      </c>
      <c r="F232" s="232"/>
      <c r="G232" s="232"/>
      <c r="H232" s="1497">
        <f t="shared" si="6"/>
        <v>0</v>
      </c>
      <c r="I232" s="1497">
        <f t="shared" si="7"/>
        <v>20116</v>
      </c>
      <c r="J232" s="1440"/>
      <c r="K232" s="1490"/>
      <c r="L232" s="1490"/>
    </row>
    <row r="233" spans="1:12" ht="112.5">
      <c r="A233" s="1566"/>
      <c r="B233" s="425" t="s">
        <v>1520</v>
      </c>
      <c r="C233" s="1226">
        <v>8600</v>
      </c>
      <c r="D233" s="1226">
        <v>8600</v>
      </c>
      <c r="E233" s="1227"/>
      <c r="F233" s="232"/>
      <c r="G233" s="232"/>
      <c r="H233" s="1497">
        <f t="shared" si="6"/>
        <v>0</v>
      </c>
      <c r="I233" s="1497">
        <f t="shared" si="7"/>
        <v>17200</v>
      </c>
      <c r="J233" s="1440"/>
      <c r="K233" s="1490"/>
      <c r="L233" s="1490"/>
    </row>
    <row r="234" spans="1:12" ht="75">
      <c r="A234" s="1566"/>
      <c r="B234" s="425" t="s">
        <v>1521</v>
      </c>
      <c r="C234" s="1226">
        <v>8000</v>
      </c>
      <c r="D234" s="1226">
        <v>8000</v>
      </c>
      <c r="E234" s="1227"/>
      <c r="F234" s="232"/>
      <c r="G234" s="232"/>
      <c r="H234" s="1497">
        <f t="shared" si="6"/>
        <v>0</v>
      </c>
      <c r="I234" s="1497">
        <f t="shared" si="7"/>
        <v>16000</v>
      </c>
      <c r="J234" s="1440"/>
      <c r="K234" s="1490"/>
      <c r="L234" s="1490"/>
    </row>
    <row r="235" spans="1:12" ht="56.25">
      <c r="A235" s="1566"/>
      <c r="B235" s="425" t="s">
        <v>1522</v>
      </c>
      <c r="C235" s="1226">
        <v>7000</v>
      </c>
      <c r="D235" s="1226"/>
      <c r="E235" s="1227">
        <v>7000</v>
      </c>
      <c r="F235" s="232"/>
      <c r="G235" s="232"/>
      <c r="H235" s="1497">
        <f t="shared" si="6"/>
        <v>0</v>
      </c>
      <c r="I235" s="1497">
        <f t="shared" si="7"/>
        <v>14000</v>
      </c>
      <c r="J235" s="1440"/>
      <c r="K235" s="1490"/>
      <c r="L235" s="1490"/>
    </row>
    <row r="236" spans="1:12" ht="112.5">
      <c r="A236" s="1566"/>
      <c r="B236" s="425" t="s">
        <v>1523</v>
      </c>
      <c r="C236" s="1226">
        <v>18000</v>
      </c>
      <c r="D236" s="1226"/>
      <c r="E236" s="1227">
        <v>18000</v>
      </c>
      <c r="F236" s="232"/>
      <c r="G236" s="232"/>
      <c r="H236" s="1497">
        <f t="shared" si="6"/>
        <v>0</v>
      </c>
      <c r="I236" s="1497">
        <f t="shared" si="7"/>
        <v>36000</v>
      </c>
      <c r="J236" s="1440"/>
      <c r="K236" s="1490"/>
      <c r="L236" s="1490"/>
    </row>
    <row r="237" spans="1:12" ht="56.25">
      <c r="A237" s="1566"/>
      <c r="B237" s="425" t="s">
        <v>1524</v>
      </c>
      <c r="C237" s="1226">
        <v>25000</v>
      </c>
      <c r="D237" s="1226">
        <v>25000</v>
      </c>
      <c r="E237" s="1227"/>
      <c r="F237" s="232"/>
      <c r="G237" s="232"/>
      <c r="H237" s="1497">
        <f t="shared" si="6"/>
        <v>0</v>
      </c>
      <c r="I237" s="1497">
        <f t="shared" si="7"/>
        <v>50000</v>
      </c>
      <c r="J237" s="1440"/>
      <c r="K237" s="1490"/>
      <c r="L237" s="1490"/>
    </row>
    <row r="238" spans="1:12" ht="75">
      <c r="A238" s="1566"/>
      <c r="B238" s="425" t="s">
        <v>1525</v>
      </c>
      <c r="C238" s="1226">
        <v>11496</v>
      </c>
      <c r="D238" s="1226">
        <v>11496</v>
      </c>
      <c r="E238" s="1227"/>
      <c r="F238" s="232"/>
      <c r="G238" s="232"/>
      <c r="H238" s="1497">
        <f t="shared" si="6"/>
        <v>0</v>
      </c>
      <c r="I238" s="1497">
        <f t="shared" si="7"/>
        <v>22992</v>
      </c>
      <c r="J238" s="1440"/>
      <c r="K238" s="1490"/>
      <c r="L238" s="1490"/>
    </row>
    <row r="239" spans="1:12" ht="93.75">
      <c r="A239" s="1566"/>
      <c r="B239" s="107" t="s">
        <v>2128</v>
      </c>
      <c r="C239" s="817">
        <v>12000</v>
      </c>
      <c r="D239" s="817">
        <v>12000</v>
      </c>
      <c r="E239" s="184"/>
      <c r="F239" s="232"/>
      <c r="G239" s="232"/>
      <c r="H239" s="1497">
        <f t="shared" si="6"/>
        <v>0</v>
      </c>
      <c r="I239" s="1497">
        <f t="shared" si="7"/>
        <v>24000</v>
      </c>
      <c r="J239" s="1440"/>
      <c r="K239" s="1490"/>
      <c r="L239" s="1490"/>
    </row>
    <row r="240" spans="1:12" ht="112.5">
      <c r="A240" s="1566"/>
      <c r="B240" s="107" t="s">
        <v>2129</v>
      </c>
      <c r="C240" s="817">
        <v>12000</v>
      </c>
      <c r="D240" s="817"/>
      <c r="E240" s="184">
        <v>12000</v>
      </c>
      <c r="F240" s="232"/>
      <c r="G240" s="232"/>
      <c r="H240" s="1497">
        <f t="shared" si="6"/>
        <v>0</v>
      </c>
      <c r="I240" s="1497">
        <f t="shared" si="7"/>
        <v>24000</v>
      </c>
      <c r="J240" s="1440"/>
      <c r="K240" s="1490"/>
      <c r="L240" s="1490"/>
    </row>
    <row r="241" spans="1:12" ht="112.5">
      <c r="A241" s="1566"/>
      <c r="B241" s="107" t="s">
        <v>2130</v>
      </c>
      <c r="C241" s="817">
        <v>15000</v>
      </c>
      <c r="D241" s="817"/>
      <c r="E241" s="184">
        <v>15000</v>
      </c>
      <c r="F241" s="232"/>
      <c r="G241" s="232"/>
      <c r="H241" s="1497">
        <f t="shared" si="6"/>
        <v>0</v>
      </c>
      <c r="I241" s="1497">
        <f t="shared" si="7"/>
        <v>30000</v>
      </c>
      <c r="J241" s="1440"/>
      <c r="K241" s="1490"/>
      <c r="L241" s="1490"/>
    </row>
    <row r="242" spans="1:12" hidden="1">
      <c r="A242" s="1566"/>
      <c r="B242" s="107"/>
      <c r="C242" s="256"/>
      <c r="D242" s="649"/>
      <c r="E242" s="256"/>
      <c r="F242" s="232"/>
      <c r="G242" s="232"/>
      <c r="H242" s="231">
        <f t="shared" si="6"/>
        <v>0</v>
      </c>
      <c r="I242" s="231">
        <f t="shared" si="7"/>
        <v>0</v>
      </c>
    </row>
    <row r="243" spans="1:12" hidden="1">
      <c r="A243" s="1566"/>
      <c r="B243" s="425"/>
      <c r="C243" s="649"/>
      <c r="D243" s="649"/>
      <c r="E243" s="256"/>
      <c r="F243" s="232"/>
      <c r="G243" s="232"/>
      <c r="H243" s="231">
        <f t="shared" si="6"/>
        <v>0</v>
      </c>
      <c r="I243" s="231">
        <f t="shared" si="7"/>
        <v>0</v>
      </c>
    </row>
    <row r="244" spans="1:12" hidden="1">
      <c r="A244" s="1566"/>
      <c r="B244" s="425"/>
      <c r="C244" s="649"/>
      <c r="D244" s="649"/>
      <c r="E244" s="256"/>
      <c r="F244" s="232"/>
      <c r="G244" s="232"/>
      <c r="H244" s="231">
        <f t="shared" si="6"/>
        <v>0</v>
      </c>
      <c r="I244" s="231">
        <f t="shared" si="7"/>
        <v>0</v>
      </c>
    </row>
    <row r="245" spans="1:12" hidden="1">
      <c r="A245" s="1566"/>
      <c r="B245" s="641"/>
      <c r="C245" s="658"/>
      <c r="D245" s="649"/>
      <c r="E245" s="256"/>
      <c r="F245" s="232"/>
      <c r="G245" s="232"/>
      <c r="H245" s="231">
        <f t="shared" si="6"/>
        <v>0</v>
      </c>
      <c r="I245" s="231">
        <f t="shared" si="7"/>
        <v>0</v>
      </c>
    </row>
    <row r="246" spans="1:12" hidden="1">
      <c r="A246" s="1566"/>
      <c r="B246" s="641"/>
      <c r="C246" s="649"/>
      <c r="D246" s="649"/>
      <c r="E246" s="256"/>
      <c r="F246" s="232"/>
      <c r="G246" s="232"/>
      <c r="H246" s="231">
        <f t="shared" si="6"/>
        <v>0</v>
      </c>
      <c r="I246" s="231">
        <f t="shared" si="7"/>
        <v>0</v>
      </c>
    </row>
    <row r="247" spans="1:12" hidden="1">
      <c r="A247" s="1566"/>
      <c r="B247" s="641"/>
      <c r="C247" s="649"/>
      <c r="D247" s="649"/>
      <c r="E247" s="256"/>
      <c r="F247" s="232"/>
      <c r="G247" s="232"/>
      <c r="H247" s="231">
        <f t="shared" si="6"/>
        <v>0</v>
      </c>
      <c r="I247" s="231">
        <f t="shared" si="7"/>
        <v>0</v>
      </c>
    </row>
    <row r="248" spans="1:12" hidden="1">
      <c r="A248" s="1566"/>
      <c r="B248" s="641"/>
      <c r="C248" s="649"/>
      <c r="D248" s="649"/>
      <c r="E248" s="256"/>
      <c r="F248" s="232"/>
      <c r="G248" s="232"/>
      <c r="H248" s="231">
        <f t="shared" si="6"/>
        <v>0</v>
      </c>
      <c r="I248" s="231">
        <f t="shared" si="7"/>
        <v>0</v>
      </c>
    </row>
    <row r="249" spans="1:12" hidden="1">
      <c r="A249" s="1566"/>
      <c r="B249" s="641"/>
      <c r="C249" s="649"/>
      <c r="D249" s="649"/>
      <c r="E249" s="256"/>
      <c r="F249" s="232"/>
      <c r="G249" s="232"/>
      <c r="H249" s="231">
        <f t="shared" si="6"/>
        <v>0</v>
      </c>
      <c r="I249" s="231">
        <f t="shared" si="7"/>
        <v>0</v>
      </c>
    </row>
    <row r="250" spans="1:12" hidden="1">
      <c r="A250" s="1566"/>
      <c r="B250" s="107"/>
      <c r="C250" s="649"/>
      <c r="D250" s="649"/>
      <c r="E250" s="256"/>
      <c r="F250" s="232"/>
      <c r="G250" s="232"/>
      <c r="H250" s="231">
        <f t="shared" si="6"/>
        <v>0</v>
      </c>
      <c r="I250" s="231">
        <f t="shared" si="7"/>
        <v>0</v>
      </c>
    </row>
    <row r="251" spans="1:12" hidden="1">
      <c r="A251" s="1566"/>
      <c r="B251" s="107"/>
      <c r="C251" s="649"/>
      <c r="D251" s="649"/>
      <c r="E251" s="256"/>
      <c r="F251" s="232"/>
      <c r="G251" s="232"/>
      <c r="H251" s="231">
        <f t="shared" si="6"/>
        <v>0</v>
      </c>
      <c r="I251" s="231">
        <f t="shared" si="7"/>
        <v>0</v>
      </c>
    </row>
    <row r="252" spans="1:12" hidden="1">
      <c r="A252" s="1566"/>
      <c r="B252" s="773"/>
      <c r="C252" s="774"/>
      <c r="D252" s="774"/>
      <c r="E252" s="774"/>
      <c r="F252" s="232"/>
      <c r="G252" s="232"/>
      <c r="H252" s="231">
        <f t="shared" si="6"/>
        <v>0</v>
      </c>
      <c r="I252" s="231">
        <f t="shared" si="7"/>
        <v>0</v>
      </c>
    </row>
    <row r="253" spans="1:12" hidden="1">
      <c r="A253" s="1566"/>
      <c r="B253" s="773"/>
      <c r="C253" s="774"/>
      <c r="D253" s="774"/>
      <c r="E253" s="774"/>
      <c r="F253" s="232"/>
      <c r="G253" s="232"/>
      <c r="H253" s="231">
        <f t="shared" si="6"/>
        <v>0</v>
      </c>
      <c r="I253" s="231">
        <f t="shared" si="7"/>
        <v>0</v>
      </c>
    </row>
    <row r="254" spans="1:12" hidden="1">
      <c r="A254" s="1566"/>
      <c r="B254" s="773"/>
      <c r="C254" s="774"/>
      <c r="D254" s="774"/>
      <c r="E254" s="774"/>
      <c r="F254" s="232"/>
      <c r="G254" s="232"/>
      <c r="H254" s="231">
        <f t="shared" si="6"/>
        <v>0</v>
      </c>
      <c r="I254" s="231">
        <f t="shared" si="7"/>
        <v>0</v>
      </c>
    </row>
    <row r="255" spans="1:12" hidden="1">
      <c r="A255" s="1566"/>
      <c r="B255" s="773"/>
      <c r="C255" s="774"/>
      <c r="D255" s="774"/>
      <c r="E255" s="774"/>
      <c r="F255" s="232"/>
      <c r="G255" s="232"/>
      <c r="H255" s="231">
        <f t="shared" si="6"/>
        <v>0</v>
      </c>
      <c r="I255" s="231">
        <f t="shared" si="7"/>
        <v>0</v>
      </c>
    </row>
    <row r="256" spans="1:12" hidden="1">
      <c r="A256" s="1566"/>
      <c r="B256" s="770"/>
      <c r="C256" s="771"/>
      <c r="D256" s="771"/>
      <c r="E256" s="772"/>
      <c r="F256" s="232"/>
      <c r="G256" s="232"/>
      <c r="H256" s="231">
        <f t="shared" si="6"/>
        <v>0</v>
      </c>
      <c r="I256" s="231">
        <f t="shared" si="7"/>
        <v>0</v>
      </c>
    </row>
    <row r="257" spans="1:9" hidden="1">
      <c r="A257" s="1566"/>
      <c r="B257" s="770"/>
      <c r="C257" s="771"/>
      <c r="D257" s="771"/>
      <c r="E257" s="772"/>
      <c r="F257" s="232"/>
      <c r="G257" s="232"/>
      <c r="H257" s="231">
        <f t="shared" si="6"/>
        <v>0</v>
      </c>
      <c r="I257" s="231">
        <f t="shared" si="7"/>
        <v>0</v>
      </c>
    </row>
    <row r="258" spans="1:9" hidden="1">
      <c r="A258" s="1566"/>
      <c r="B258" s="770"/>
      <c r="C258" s="771"/>
      <c r="D258" s="771"/>
      <c r="E258" s="772"/>
      <c r="F258" s="232"/>
      <c r="G258" s="232"/>
      <c r="H258" s="231">
        <f t="shared" si="6"/>
        <v>0</v>
      </c>
      <c r="I258" s="231">
        <f t="shared" si="7"/>
        <v>0</v>
      </c>
    </row>
    <row r="259" spans="1:9" hidden="1">
      <c r="A259" s="1566"/>
      <c r="B259" s="770"/>
      <c r="C259" s="771"/>
      <c r="D259" s="771"/>
      <c r="E259" s="772"/>
      <c r="F259" s="232"/>
      <c r="G259" s="232"/>
      <c r="H259" s="231">
        <f t="shared" si="6"/>
        <v>0</v>
      </c>
      <c r="I259" s="231">
        <f t="shared" si="7"/>
        <v>0</v>
      </c>
    </row>
    <row r="260" spans="1:9" hidden="1">
      <c r="A260" s="1566"/>
      <c r="B260" s="371"/>
      <c r="C260" s="665"/>
      <c r="D260" s="665"/>
      <c r="E260" s="665"/>
      <c r="F260" s="232"/>
      <c r="G260" s="232"/>
      <c r="H260" s="231">
        <f t="shared" si="6"/>
        <v>0</v>
      </c>
      <c r="I260" s="231">
        <f t="shared" si="7"/>
        <v>0</v>
      </c>
    </row>
    <row r="261" spans="1:9" s="7" customFormat="1" hidden="1">
      <c r="A261" s="1558"/>
      <c r="B261" s="371"/>
      <c r="C261" s="665"/>
      <c r="D261" s="665"/>
      <c r="E261" s="665"/>
      <c r="F261" s="232"/>
      <c r="G261" s="232"/>
      <c r="H261" s="231">
        <f t="shared" si="6"/>
        <v>0</v>
      </c>
      <c r="I261" s="231">
        <f t="shared" si="7"/>
        <v>0</v>
      </c>
    </row>
    <row r="262" spans="1:9" s="7" customFormat="1" hidden="1">
      <c r="A262" s="1558"/>
      <c r="B262" s="371"/>
      <c r="C262" s="665"/>
      <c r="D262" s="665"/>
      <c r="E262" s="665"/>
      <c r="F262" s="232"/>
      <c r="G262" s="232"/>
      <c r="H262" s="231">
        <f t="shared" si="6"/>
        <v>0</v>
      </c>
      <c r="I262" s="231">
        <f t="shared" si="7"/>
        <v>0</v>
      </c>
    </row>
    <row r="263" spans="1:9" s="7" customFormat="1" hidden="1">
      <c r="A263" s="1558"/>
      <c r="B263" s="371"/>
      <c r="C263" s="665"/>
      <c r="D263" s="665"/>
      <c r="E263" s="665"/>
      <c r="F263" s="232"/>
      <c r="G263" s="232"/>
      <c r="H263" s="231">
        <f t="shared" si="6"/>
        <v>0</v>
      </c>
      <c r="I263" s="231">
        <f t="shared" si="7"/>
        <v>0</v>
      </c>
    </row>
    <row r="264" spans="1:9" s="7" customFormat="1" hidden="1">
      <c r="A264" s="1558"/>
      <c r="B264" s="821"/>
      <c r="C264" s="852"/>
      <c r="D264" s="852"/>
      <c r="E264" s="852"/>
      <c r="F264" s="232"/>
      <c r="G264" s="232"/>
      <c r="H264" s="231">
        <f t="shared" si="6"/>
        <v>0</v>
      </c>
      <c r="I264" s="231">
        <f t="shared" si="7"/>
        <v>0</v>
      </c>
    </row>
    <row r="265" spans="1:9" s="7" customFormat="1" hidden="1">
      <c r="A265" s="1558"/>
      <c r="B265" s="821"/>
      <c r="C265" s="852"/>
      <c r="D265" s="853"/>
      <c r="E265" s="853"/>
      <c r="F265" s="232"/>
      <c r="G265" s="232"/>
      <c r="H265" s="231">
        <f t="shared" ref="H265:H328" si="8">E265+D265-C265</f>
        <v>0</v>
      </c>
      <c r="I265" s="231">
        <f t="shared" ref="I265:I328" si="9">SUM(C265:E265)</f>
        <v>0</v>
      </c>
    </row>
    <row r="266" spans="1:9" s="7" customFormat="1" hidden="1">
      <c r="A266" s="1558"/>
      <c r="B266" s="821"/>
      <c r="C266" s="852"/>
      <c r="D266" s="853"/>
      <c r="E266" s="853"/>
      <c r="F266" s="232"/>
      <c r="G266" s="232"/>
      <c r="H266" s="231">
        <f t="shared" si="8"/>
        <v>0</v>
      </c>
      <c r="I266" s="231">
        <f t="shared" si="9"/>
        <v>0</v>
      </c>
    </row>
    <row r="267" spans="1:9" s="7" customFormat="1" hidden="1">
      <c r="A267" s="1558"/>
      <c r="B267" s="371"/>
      <c r="C267" s="844"/>
      <c r="D267" s="856"/>
      <c r="E267" s="856"/>
      <c r="F267" s="232"/>
      <c r="G267" s="232"/>
      <c r="H267" s="231">
        <f t="shared" si="8"/>
        <v>0</v>
      </c>
      <c r="I267" s="231">
        <f t="shared" si="9"/>
        <v>0</v>
      </c>
    </row>
    <row r="268" spans="1:9" s="7" customFormat="1" hidden="1">
      <c r="A268" s="1558"/>
      <c r="B268" s="371"/>
      <c r="C268" s="844"/>
      <c r="D268" s="855"/>
      <c r="E268" s="845"/>
      <c r="F268" s="232"/>
      <c r="G268" s="232"/>
      <c r="H268" s="231">
        <f t="shared" si="8"/>
        <v>0</v>
      </c>
      <c r="I268" s="231">
        <f t="shared" si="9"/>
        <v>0</v>
      </c>
    </row>
    <row r="269" spans="1:9" s="7" customFormat="1" hidden="1">
      <c r="A269" s="1558"/>
      <c r="B269" s="371"/>
      <c r="C269" s="850"/>
      <c r="D269" s="845"/>
      <c r="E269" s="855"/>
      <c r="F269" s="232"/>
      <c r="G269" s="232"/>
      <c r="H269" s="231">
        <f t="shared" si="8"/>
        <v>0</v>
      </c>
      <c r="I269" s="231">
        <f t="shared" si="9"/>
        <v>0</v>
      </c>
    </row>
    <row r="270" spans="1:9" s="7" customFormat="1" hidden="1">
      <c r="A270" s="1558"/>
      <c r="B270" s="371"/>
      <c r="C270" s="850"/>
      <c r="D270" s="850"/>
      <c r="E270" s="850"/>
      <c r="F270" s="232"/>
      <c r="G270" s="232"/>
      <c r="H270" s="231">
        <f t="shared" si="8"/>
        <v>0</v>
      </c>
      <c r="I270" s="231">
        <f t="shared" si="9"/>
        <v>0</v>
      </c>
    </row>
    <row r="271" spans="1:9" s="7" customFormat="1" hidden="1">
      <c r="A271" s="1558"/>
      <c r="B271" s="371"/>
      <c r="C271" s="851"/>
      <c r="D271" s="851"/>
      <c r="E271" s="852"/>
      <c r="F271" s="232"/>
      <c r="G271" s="232"/>
      <c r="H271" s="231">
        <f t="shared" si="8"/>
        <v>0</v>
      </c>
      <c r="I271" s="231">
        <f t="shared" si="9"/>
        <v>0</v>
      </c>
    </row>
    <row r="272" spans="1:9" s="7" customFormat="1" hidden="1">
      <c r="A272" s="1558"/>
      <c r="B272" s="371"/>
      <c r="C272" s="851"/>
      <c r="D272" s="851"/>
      <c r="E272" s="852"/>
      <c r="F272" s="232"/>
      <c r="G272" s="232"/>
      <c r="H272" s="231">
        <f t="shared" si="8"/>
        <v>0</v>
      </c>
      <c r="I272" s="231">
        <f t="shared" si="9"/>
        <v>0</v>
      </c>
    </row>
    <row r="273" spans="1:9" s="7" customFormat="1" hidden="1">
      <c r="A273" s="1558"/>
      <c r="B273" s="371"/>
      <c r="C273" s="851"/>
      <c r="D273" s="851"/>
      <c r="E273" s="852"/>
      <c r="F273" s="232"/>
      <c r="G273" s="232"/>
      <c r="H273" s="231">
        <f t="shared" si="8"/>
        <v>0</v>
      </c>
      <c r="I273" s="231">
        <f t="shared" si="9"/>
        <v>0</v>
      </c>
    </row>
    <row r="274" spans="1:9" s="7" customFormat="1" hidden="1">
      <c r="A274" s="1558"/>
      <c r="B274" s="821"/>
      <c r="C274" s="851"/>
      <c r="D274" s="851"/>
      <c r="E274" s="852"/>
      <c r="F274" s="232"/>
      <c r="G274" s="232"/>
      <c r="H274" s="231">
        <f t="shared" si="8"/>
        <v>0</v>
      </c>
      <c r="I274" s="231">
        <f t="shared" si="9"/>
        <v>0</v>
      </c>
    </row>
    <row r="275" spans="1:9" s="7" customFormat="1" hidden="1">
      <c r="A275" s="1558"/>
      <c r="B275" s="821"/>
      <c r="C275" s="851"/>
      <c r="D275" s="851"/>
      <c r="E275" s="852"/>
      <c r="F275" s="232"/>
      <c r="G275" s="232"/>
      <c r="H275" s="231">
        <f t="shared" si="8"/>
        <v>0</v>
      </c>
      <c r="I275" s="231">
        <f t="shared" si="9"/>
        <v>0</v>
      </c>
    </row>
    <row r="276" spans="1:9" s="7" customFormat="1" hidden="1">
      <c r="A276" s="1558"/>
      <c r="B276" s="857"/>
      <c r="C276" s="858"/>
      <c r="D276" s="850"/>
      <c r="E276" s="844"/>
      <c r="F276" s="232"/>
      <c r="G276" s="232"/>
      <c r="H276" s="231">
        <f t="shared" si="8"/>
        <v>0</v>
      </c>
      <c r="I276" s="231">
        <f t="shared" si="9"/>
        <v>0</v>
      </c>
    </row>
    <row r="277" spans="1:9" s="7" customFormat="1" hidden="1">
      <c r="A277" s="1554"/>
      <c r="B277" s="371"/>
      <c r="C277" s="844"/>
      <c r="D277" s="844"/>
      <c r="E277" s="844"/>
      <c r="F277" s="232"/>
      <c r="G277" s="232"/>
      <c r="H277" s="231">
        <f t="shared" si="8"/>
        <v>0</v>
      </c>
      <c r="I277" s="231">
        <f t="shared" si="9"/>
        <v>0</v>
      </c>
    </row>
    <row r="278" spans="1:9" s="7" customFormat="1" hidden="1">
      <c r="A278" s="1554"/>
      <c r="B278" s="371"/>
      <c r="C278" s="846"/>
      <c r="D278" s="846"/>
      <c r="E278" s="849"/>
      <c r="F278" s="232"/>
      <c r="G278" s="232"/>
      <c r="H278" s="231">
        <f t="shared" si="8"/>
        <v>0</v>
      </c>
      <c r="I278" s="231">
        <f t="shared" si="9"/>
        <v>0</v>
      </c>
    </row>
    <row r="279" spans="1:9" s="7" customFormat="1" hidden="1">
      <c r="A279" s="1554"/>
      <c r="B279" s="371"/>
      <c r="C279" s="665"/>
      <c r="D279" s="665"/>
      <c r="E279" s="665"/>
      <c r="F279" s="232"/>
      <c r="G279" s="232"/>
      <c r="H279" s="231">
        <f t="shared" si="8"/>
        <v>0</v>
      </c>
      <c r="I279" s="231">
        <f t="shared" si="9"/>
        <v>0</v>
      </c>
    </row>
    <row r="280" spans="1:9" s="7" customFormat="1" hidden="1">
      <c r="A280" s="1554"/>
      <c r="B280" s="371"/>
      <c r="C280" s="665"/>
      <c r="D280" s="665"/>
      <c r="E280" s="665"/>
      <c r="F280" s="232"/>
      <c r="G280" s="232"/>
      <c r="H280" s="231">
        <f t="shared" si="8"/>
        <v>0</v>
      </c>
      <c r="I280" s="231">
        <f t="shared" si="9"/>
        <v>0</v>
      </c>
    </row>
    <row r="281" spans="1:9" s="7" customFormat="1" hidden="1">
      <c r="A281" s="1554"/>
      <c r="B281" s="371"/>
      <c r="C281" s="665"/>
      <c r="D281" s="665"/>
      <c r="E281" s="665"/>
      <c r="F281" s="232"/>
      <c r="G281" s="232"/>
      <c r="H281" s="231">
        <f t="shared" si="8"/>
        <v>0</v>
      </c>
      <c r="I281" s="231">
        <f t="shared" si="9"/>
        <v>0</v>
      </c>
    </row>
    <row r="282" spans="1:9" s="7" customFormat="1" hidden="1">
      <c r="A282" s="1554"/>
      <c r="B282" s="371"/>
      <c r="C282" s="665"/>
      <c r="D282" s="665"/>
      <c r="E282" s="665"/>
      <c r="F282" s="232"/>
      <c r="G282" s="232"/>
      <c r="H282" s="231">
        <f t="shared" si="8"/>
        <v>0</v>
      </c>
      <c r="I282" s="231">
        <f t="shared" si="9"/>
        <v>0</v>
      </c>
    </row>
    <row r="283" spans="1:9" s="7" customFormat="1" hidden="1">
      <c r="A283" s="1554"/>
      <c r="B283" s="371"/>
      <c r="C283" s="665"/>
      <c r="D283" s="665"/>
      <c r="E283" s="665"/>
      <c r="F283" s="232"/>
      <c r="G283" s="232"/>
      <c r="H283" s="231">
        <f t="shared" si="8"/>
        <v>0</v>
      </c>
      <c r="I283" s="231">
        <f t="shared" si="9"/>
        <v>0</v>
      </c>
    </row>
    <row r="284" spans="1:9" s="7" customFormat="1" hidden="1">
      <c r="A284" s="1554"/>
      <c r="B284" s="371"/>
      <c r="C284" s="665"/>
      <c r="D284" s="665"/>
      <c r="E284" s="665"/>
      <c r="F284" s="232"/>
      <c r="G284" s="232"/>
      <c r="H284" s="231">
        <f t="shared" si="8"/>
        <v>0</v>
      </c>
      <c r="I284" s="231">
        <f t="shared" si="9"/>
        <v>0</v>
      </c>
    </row>
    <row r="285" spans="1:9" s="7" customFormat="1" hidden="1">
      <c r="A285" s="1554"/>
      <c r="B285" s="371"/>
      <c r="C285" s="665"/>
      <c r="D285" s="665"/>
      <c r="E285" s="665"/>
      <c r="F285" s="232"/>
      <c r="G285" s="232"/>
      <c r="H285" s="231">
        <f t="shared" si="8"/>
        <v>0</v>
      </c>
      <c r="I285" s="231">
        <f t="shared" si="9"/>
        <v>0</v>
      </c>
    </row>
    <row r="286" spans="1:9" s="7" customFormat="1" hidden="1">
      <c r="A286" s="1554"/>
      <c r="B286" s="371"/>
      <c r="C286" s="665"/>
      <c r="D286" s="665"/>
      <c r="E286" s="665"/>
      <c r="F286" s="232"/>
      <c r="G286" s="232"/>
      <c r="H286" s="231">
        <f t="shared" si="8"/>
        <v>0</v>
      </c>
      <c r="I286" s="231">
        <f t="shared" si="9"/>
        <v>0</v>
      </c>
    </row>
    <row r="287" spans="1:9" s="7" customFormat="1" hidden="1">
      <c r="A287" s="1554"/>
      <c r="B287" s="371"/>
      <c r="C287" s="665"/>
      <c r="D287" s="665"/>
      <c r="E287" s="665"/>
      <c r="F287" s="232"/>
      <c r="G287" s="232"/>
      <c r="H287" s="231">
        <f t="shared" si="8"/>
        <v>0</v>
      </c>
      <c r="I287" s="231">
        <f t="shared" si="9"/>
        <v>0</v>
      </c>
    </row>
    <row r="288" spans="1:9" s="7" customFormat="1" hidden="1">
      <c r="A288" s="1554"/>
      <c r="B288" s="371"/>
      <c r="C288" s="665"/>
      <c r="D288" s="665"/>
      <c r="E288" s="665"/>
      <c r="F288" s="232"/>
      <c r="G288" s="232"/>
      <c r="H288" s="231">
        <f t="shared" si="8"/>
        <v>0</v>
      </c>
      <c r="I288" s="231">
        <f t="shared" si="9"/>
        <v>0</v>
      </c>
    </row>
    <row r="289" spans="1:9" s="7" customFormat="1" hidden="1">
      <c r="A289" s="1554"/>
      <c r="B289" s="371"/>
      <c r="C289" s="665"/>
      <c r="D289" s="665"/>
      <c r="E289" s="665"/>
      <c r="F289" s="232"/>
      <c r="G289" s="232"/>
      <c r="H289" s="231">
        <f t="shared" si="8"/>
        <v>0</v>
      </c>
      <c r="I289" s="231">
        <f t="shared" si="9"/>
        <v>0</v>
      </c>
    </row>
    <row r="290" spans="1:9" s="7" customFormat="1" hidden="1">
      <c r="A290" s="1554"/>
      <c r="B290" s="385"/>
      <c r="C290" s="638"/>
      <c r="D290" s="638"/>
      <c r="E290" s="639"/>
      <c r="F290" s="232"/>
      <c r="G290" s="232"/>
      <c r="H290" s="231">
        <f t="shared" si="8"/>
        <v>0</v>
      </c>
      <c r="I290" s="231">
        <f t="shared" si="9"/>
        <v>0</v>
      </c>
    </row>
    <row r="291" spans="1:9" s="7" customFormat="1" hidden="1">
      <c r="A291" s="1554"/>
      <c r="B291" s="385"/>
      <c r="C291" s="638"/>
      <c r="D291" s="638"/>
      <c r="E291" s="639"/>
      <c r="F291" s="232"/>
      <c r="G291" s="232"/>
      <c r="H291" s="231">
        <f t="shared" si="8"/>
        <v>0</v>
      </c>
      <c r="I291" s="231">
        <f t="shared" si="9"/>
        <v>0</v>
      </c>
    </row>
    <row r="292" spans="1:9" s="7" customFormat="1" hidden="1">
      <c r="A292" s="1554"/>
      <c r="B292" s="385"/>
      <c r="C292" s="638"/>
      <c r="D292" s="638"/>
      <c r="E292" s="639"/>
      <c r="F292" s="232"/>
      <c r="G292" s="232"/>
      <c r="H292" s="231">
        <f t="shared" si="8"/>
        <v>0</v>
      </c>
      <c r="I292" s="231">
        <f t="shared" si="9"/>
        <v>0</v>
      </c>
    </row>
    <row r="293" spans="1:9" s="7" customFormat="1" hidden="1">
      <c r="A293" s="1554"/>
      <c r="B293" s="385"/>
      <c r="C293" s="638"/>
      <c r="D293" s="638"/>
      <c r="E293" s="639"/>
      <c r="F293" s="232"/>
      <c r="G293" s="232"/>
      <c r="H293" s="231">
        <f t="shared" si="8"/>
        <v>0</v>
      </c>
      <c r="I293" s="231">
        <f t="shared" si="9"/>
        <v>0</v>
      </c>
    </row>
    <row r="294" spans="1:9" s="7" customFormat="1" hidden="1">
      <c r="A294" s="1554"/>
      <c r="B294" s="385"/>
      <c r="C294" s="638"/>
      <c r="D294" s="638"/>
      <c r="E294" s="639"/>
      <c r="F294" s="232"/>
      <c r="G294" s="232"/>
      <c r="H294" s="231">
        <f t="shared" si="8"/>
        <v>0</v>
      </c>
      <c r="I294" s="231">
        <f t="shared" si="9"/>
        <v>0</v>
      </c>
    </row>
    <row r="295" spans="1:9" s="7" customFormat="1" hidden="1">
      <c r="A295" s="1554"/>
      <c r="B295" s="385"/>
      <c r="C295" s="638"/>
      <c r="D295" s="638"/>
      <c r="E295" s="639"/>
      <c r="F295" s="232"/>
      <c r="G295" s="232"/>
      <c r="H295" s="231">
        <f t="shared" si="8"/>
        <v>0</v>
      </c>
      <c r="I295" s="231">
        <f t="shared" si="9"/>
        <v>0</v>
      </c>
    </row>
    <row r="296" spans="1:9" s="391" customFormat="1" hidden="1">
      <c r="A296" s="1554"/>
      <c r="B296" s="390"/>
      <c r="C296" s="651"/>
      <c r="D296" s="653"/>
      <c r="E296" s="653"/>
      <c r="F296" s="389"/>
      <c r="G296" s="389"/>
      <c r="H296" s="231">
        <f t="shared" si="8"/>
        <v>0</v>
      </c>
      <c r="I296" s="231">
        <f t="shared" si="9"/>
        <v>0</v>
      </c>
    </row>
    <row r="297" spans="1:9" s="391" customFormat="1" hidden="1">
      <c r="A297" s="1554"/>
      <c r="B297" s="390"/>
      <c r="C297" s="651"/>
      <c r="D297" s="652"/>
      <c r="E297" s="653"/>
      <c r="F297" s="389"/>
      <c r="G297" s="389"/>
      <c r="H297" s="231">
        <f t="shared" si="8"/>
        <v>0</v>
      </c>
      <c r="I297" s="231">
        <f t="shared" si="9"/>
        <v>0</v>
      </c>
    </row>
    <row r="298" spans="1:9" s="391" customFormat="1" hidden="1">
      <c r="A298" s="1554"/>
      <c r="B298" s="390"/>
      <c r="C298" s="651"/>
      <c r="D298" s="652"/>
      <c r="E298" s="653"/>
      <c r="F298" s="389"/>
      <c r="G298" s="389"/>
      <c r="H298" s="231">
        <f t="shared" si="8"/>
        <v>0</v>
      </c>
      <c r="I298" s="231">
        <f t="shared" si="9"/>
        <v>0</v>
      </c>
    </row>
    <row r="299" spans="1:9" s="391" customFormat="1" hidden="1">
      <c r="A299" s="1554"/>
      <c r="B299" s="390"/>
      <c r="C299" s="651"/>
      <c r="D299" s="653"/>
      <c r="E299" s="653"/>
      <c r="F299" s="389"/>
      <c r="G299" s="389"/>
      <c r="H299" s="231">
        <f t="shared" si="8"/>
        <v>0</v>
      </c>
      <c r="I299" s="231">
        <f t="shared" si="9"/>
        <v>0</v>
      </c>
    </row>
    <row r="300" spans="1:9" s="391" customFormat="1" hidden="1">
      <c r="A300" s="1554"/>
      <c r="B300" s="390"/>
      <c r="C300" s="651"/>
      <c r="D300" s="652"/>
      <c r="E300" s="653"/>
      <c r="F300" s="389"/>
      <c r="G300" s="389"/>
      <c r="H300" s="231">
        <f t="shared" si="8"/>
        <v>0</v>
      </c>
      <c r="I300" s="231">
        <f t="shared" si="9"/>
        <v>0</v>
      </c>
    </row>
    <row r="301" spans="1:9" s="7" customFormat="1" hidden="1">
      <c r="A301" s="1554"/>
      <c r="B301" s="107"/>
      <c r="C301" s="654"/>
      <c r="D301" s="654"/>
      <c r="E301" s="256"/>
      <c r="F301" s="232"/>
      <c r="G301" s="232"/>
      <c r="H301" s="231">
        <f t="shared" si="8"/>
        <v>0</v>
      </c>
      <c r="I301" s="231">
        <f t="shared" si="9"/>
        <v>0</v>
      </c>
    </row>
    <row r="302" spans="1:9" s="7" customFormat="1" hidden="1">
      <c r="A302" s="1554"/>
      <c r="B302" s="107"/>
      <c r="C302" s="654"/>
      <c r="D302" s="654"/>
      <c r="E302" s="256"/>
      <c r="F302" s="232"/>
      <c r="G302" s="232"/>
      <c r="H302" s="231">
        <f t="shared" si="8"/>
        <v>0</v>
      </c>
      <c r="I302" s="231">
        <f t="shared" si="9"/>
        <v>0</v>
      </c>
    </row>
    <row r="303" spans="1:9" s="7" customFormat="1" hidden="1">
      <c r="A303" s="1554"/>
      <c r="B303" s="107"/>
      <c r="C303" s="654"/>
      <c r="D303" s="654"/>
      <c r="E303" s="256"/>
      <c r="F303" s="232"/>
      <c r="G303" s="232"/>
      <c r="H303" s="231">
        <f t="shared" si="8"/>
        <v>0</v>
      </c>
      <c r="I303" s="231">
        <f t="shared" si="9"/>
        <v>0</v>
      </c>
    </row>
    <row r="304" spans="1:9" s="7" customFormat="1" hidden="1">
      <c r="A304" s="1554"/>
      <c r="B304" s="107"/>
      <c r="C304" s="654"/>
      <c r="D304" s="654"/>
      <c r="E304" s="256"/>
      <c r="F304" s="232"/>
      <c r="G304" s="232"/>
      <c r="H304" s="231">
        <f t="shared" si="8"/>
        <v>0</v>
      </c>
      <c r="I304" s="231">
        <f t="shared" si="9"/>
        <v>0</v>
      </c>
    </row>
    <row r="305" spans="1:12" s="7" customFormat="1" hidden="1">
      <c r="A305" s="1554"/>
      <c r="B305" s="107"/>
      <c r="C305" s="654"/>
      <c r="D305" s="654"/>
      <c r="E305" s="256"/>
      <c r="F305" s="232"/>
      <c r="G305" s="232"/>
      <c r="H305" s="231">
        <f t="shared" si="8"/>
        <v>0</v>
      </c>
      <c r="I305" s="231">
        <f t="shared" si="9"/>
        <v>0</v>
      </c>
    </row>
    <row r="306" spans="1:12" s="7" customFormat="1" hidden="1">
      <c r="A306" s="1554"/>
      <c r="B306" s="107"/>
      <c r="C306" s="654"/>
      <c r="D306" s="654"/>
      <c r="E306" s="256"/>
      <c r="F306" s="232"/>
      <c r="G306" s="232"/>
      <c r="H306" s="231">
        <f t="shared" si="8"/>
        <v>0</v>
      </c>
      <c r="I306" s="231">
        <f t="shared" si="9"/>
        <v>0</v>
      </c>
    </row>
    <row r="307" spans="1:12" s="7" customFormat="1" hidden="1">
      <c r="A307" s="1554"/>
      <c r="B307" s="107"/>
      <c r="C307" s="654"/>
      <c r="D307" s="654"/>
      <c r="E307" s="256"/>
      <c r="F307" s="232"/>
      <c r="G307" s="232"/>
      <c r="H307" s="231">
        <f t="shared" si="8"/>
        <v>0</v>
      </c>
      <c r="I307" s="231">
        <f t="shared" si="9"/>
        <v>0</v>
      </c>
    </row>
    <row r="308" spans="1:12" s="7" customFormat="1" hidden="1">
      <c r="A308" s="1554"/>
      <c r="B308" s="107"/>
      <c r="C308" s="654"/>
      <c r="D308" s="654"/>
      <c r="E308" s="256"/>
      <c r="F308" s="232"/>
      <c r="G308" s="232"/>
      <c r="H308" s="231">
        <f t="shared" si="8"/>
        <v>0</v>
      </c>
      <c r="I308" s="231">
        <f t="shared" si="9"/>
        <v>0</v>
      </c>
    </row>
    <row r="309" spans="1:12" s="7" customFormat="1" hidden="1">
      <c r="A309" s="1554"/>
      <c r="B309" s="107"/>
      <c r="C309" s="654"/>
      <c r="D309" s="654"/>
      <c r="E309" s="256"/>
      <c r="F309" s="232"/>
      <c r="G309" s="232"/>
      <c r="H309" s="231">
        <f t="shared" si="8"/>
        <v>0</v>
      </c>
      <c r="I309" s="231">
        <f t="shared" si="9"/>
        <v>0</v>
      </c>
    </row>
    <row r="310" spans="1:12" s="7" customFormat="1" hidden="1">
      <c r="A310" s="1554"/>
      <c r="B310" s="107"/>
      <c r="C310" s="654"/>
      <c r="D310" s="654"/>
      <c r="E310" s="256"/>
      <c r="F310" s="232"/>
      <c r="G310" s="232"/>
      <c r="H310" s="231">
        <f t="shared" si="8"/>
        <v>0</v>
      </c>
      <c r="I310" s="231">
        <f t="shared" si="9"/>
        <v>0</v>
      </c>
    </row>
    <row r="311" spans="1:12" s="7" customFormat="1" hidden="1">
      <c r="A311" s="1554"/>
      <c r="B311" s="107"/>
      <c r="C311" s="654"/>
      <c r="D311" s="654"/>
      <c r="E311" s="256"/>
      <c r="F311" s="232"/>
      <c r="G311" s="232"/>
      <c r="H311" s="231">
        <f t="shared" si="8"/>
        <v>0</v>
      </c>
      <c r="I311" s="231">
        <f t="shared" si="9"/>
        <v>0</v>
      </c>
    </row>
    <row r="312" spans="1:12" s="7" customFormat="1" hidden="1">
      <c r="A312" s="1554"/>
      <c r="B312" s="107"/>
      <c r="C312" s="654"/>
      <c r="D312" s="654"/>
      <c r="E312" s="256"/>
      <c r="F312" s="232"/>
      <c r="G312" s="232"/>
      <c r="H312" s="231">
        <f t="shared" si="8"/>
        <v>0</v>
      </c>
      <c r="I312" s="231">
        <f t="shared" si="9"/>
        <v>0</v>
      </c>
    </row>
    <row r="313" spans="1:12" s="7" customFormat="1" hidden="1">
      <c r="A313" s="1554"/>
      <c r="B313" s="107"/>
      <c r="C313" s="654"/>
      <c r="D313" s="654"/>
      <c r="E313" s="256"/>
      <c r="F313" s="232"/>
      <c r="G313" s="232"/>
      <c r="H313" s="231">
        <f t="shared" si="8"/>
        <v>0</v>
      </c>
      <c r="I313" s="231">
        <f t="shared" si="9"/>
        <v>0</v>
      </c>
    </row>
    <row r="314" spans="1:12" s="7" customFormat="1" hidden="1">
      <c r="A314" s="1554"/>
      <c r="B314" s="107"/>
      <c r="C314" s="654"/>
      <c r="D314" s="654"/>
      <c r="E314" s="256"/>
      <c r="F314" s="232"/>
      <c r="G314" s="232"/>
      <c r="H314" s="231">
        <f t="shared" si="8"/>
        <v>0</v>
      </c>
      <c r="I314" s="231">
        <f t="shared" si="9"/>
        <v>0</v>
      </c>
    </row>
    <row r="315" spans="1:12" s="7" customFormat="1" hidden="1">
      <c r="A315" s="1554"/>
      <c r="B315" s="107"/>
      <c r="C315" s="654"/>
      <c r="D315" s="654"/>
      <c r="E315" s="256"/>
      <c r="F315" s="232"/>
      <c r="G315" s="232"/>
      <c r="H315" s="231">
        <f t="shared" si="8"/>
        <v>0</v>
      </c>
      <c r="I315" s="231">
        <f t="shared" si="9"/>
        <v>0</v>
      </c>
    </row>
    <row r="316" spans="1:12" s="7" customFormat="1" hidden="1">
      <c r="A316" s="1554"/>
      <c r="B316" s="107"/>
      <c r="C316" s="654"/>
      <c r="D316" s="654"/>
      <c r="E316" s="256"/>
      <c r="F316" s="232"/>
      <c r="G316" s="232"/>
      <c r="H316" s="231">
        <f t="shared" si="8"/>
        <v>0</v>
      </c>
      <c r="I316" s="231">
        <f t="shared" si="9"/>
        <v>0</v>
      </c>
    </row>
    <row r="317" spans="1:12" s="7" customFormat="1" hidden="1">
      <c r="A317" s="1554"/>
      <c r="B317" s="268"/>
      <c r="C317" s="656"/>
      <c r="D317" s="656"/>
      <c r="E317" s="657"/>
      <c r="F317" s="232"/>
      <c r="G317" s="232"/>
      <c r="H317" s="231">
        <f t="shared" si="8"/>
        <v>0</v>
      </c>
      <c r="I317" s="231">
        <f t="shared" si="9"/>
        <v>0</v>
      </c>
    </row>
    <row r="318" spans="1:12" s="210" customFormat="1">
      <c r="A318" s="1566"/>
      <c r="B318" s="211" t="s">
        <v>985</v>
      </c>
      <c r="C318" s="581">
        <f>SUM(C192:C317)</f>
        <v>2463888</v>
      </c>
      <c r="D318" s="581">
        <f>SUM(D192:D317)</f>
        <v>984951</v>
      </c>
      <c r="E318" s="581">
        <f>SUM(E192:E317)</f>
        <v>1478937</v>
      </c>
      <c r="F318" s="262"/>
      <c r="G318" s="235"/>
      <c r="H318" s="1497">
        <f t="shared" si="8"/>
        <v>0</v>
      </c>
      <c r="I318" s="1497">
        <f t="shared" si="9"/>
        <v>4927776</v>
      </c>
      <c r="J318" s="1498"/>
      <c r="K318" s="1492"/>
      <c r="L318" s="1492"/>
    </row>
    <row r="319" spans="1:12" ht="75">
      <c r="A319" s="1566" t="s">
        <v>1140</v>
      </c>
      <c r="B319" s="181" t="s">
        <v>772</v>
      </c>
      <c r="C319" s="644">
        <v>3848000</v>
      </c>
      <c r="D319" s="589">
        <v>3848000</v>
      </c>
      <c r="E319" s="644"/>
      <c r="F319" s="232"/>
      <c r="G319" s="232"/>
      <c r="H319" s="1497">
        <f t="shared" si="8"/>
        <v>0</v>
      </c>
      <c r="I319" s="1497">
        <f t="shared" si="9"/>
        <v>7696000</v>
      </c>
      <c r="J319" s="1440"/>
      <c r="K319" s="1490"/>
      <c r="L319" s="1490"/>
    </row>
    <row r="320" spans="1:12" ht="112.5">
      <c r="A320" s="1566"/>
      <c r="B320" s="107" t="s">
        <v>773</v>
      </c>
      <c r="C320" s="589">
        <v>300000</v>
      </c>
      <c r="D320" s="589"/>
      <c r="E320" s="510">
        <v>300000</v>
      </c>
      <c r="F320" s="232"/>
      <c r="G320" s="232"/>
      <c r="H320" s="1497">
        <f t="shared" si="8"/>
        <v>0</v>
      </c>
      <c r="I320" s="1497">
        <f t="shared" si="9"/>
        <v>600000</v>
      </c>
      <c r="J320" s="1440"/>
      <c r="K320" s="1490"/>
      <c r="L320" s="1490"/>
    </row>
    <row r="321" spans="1:12" ht="37.5">
      <c r="A321" s="1663"/>
      <c r="B321" s="107" t="s">
        <v>1273</v>
      </c>
      <c r="C321" s="589">
        <v>526327</v>
      </c>
      <c r="D321" s="589">
        <v>526327</v>
      </c>
      <c r="E321" s="510"/>
      <c r="F321" s="232"/>
      <c r="G321" s="232"/>
      <c r="H321" s="1497">
        <f t="shared" si="8"/>
        <v>0</v>
      </c>
      <c r="I321" s="1497">
        <f t="shared" si="9"/>
        <v>1052654</v>
      </c>
      <c r="J321" s="1440"/>
      <c r="K321" s="1490"/>
      <c r="L321" s="1490"/>
    </row>
    <row r="322" spans="1:12" ht="93.75">
      <c r="A322" s="1663"/>
      <c r="B322" s="107" t="s">
        <v>1526</v>
      </c>
      <c r="C322" s="817">
        <v>15000</v>
      </c>
      <c r="D322" s="817">
        <v>15000</v>
      </c>
      <c r="E322" s="184"/>
      <c r="F322" s="232"/>
      <c r="G322" s="232"/>
      <c r="H322" s="1497">
        <f t="shared" si="8"/>
        <v>0</v>
      </c>
      <c r="I322" s="1497">
        <f t="shared" si="9"/>
        <v>30000</v>
      </c>
      <c r="J322" s="1440"/>
      <c r="K322" s="1490"/>
      <c r="L322" s="1490"/>
    </row>
    <row r="323" spans="1:12" ht="75">
      <c r="A323" s="1663"/>
      <c r="B323" s="107" t="s">
        <v>1527</v>
      </c>
      <c r="C323" s="817">
        <v>169665</v>
      </c>
      <c r="D323" s="1226"/>
      <c r="E323" s="1227">
        <v>169665</v>
      </c>
      <c r="F323" s="567"/>
      <c r="G323" s="567"/>
      <c r="H323" s="1497">
        <f t="shared" si="8"/>
        <v>0</v>
      </c>
      <c r="I323" s="1497">
        <f t="shared" si="9"/>
        <v>339330</v>
      </c>
      <c r="J323" s="1440"/>
      <c r="K323" s="1490"/>
      <c r="L323" s="1490"/>
    </row>
    <row r="324" spans="1:12" ht="37.5">
      <c r="A324" s="1663"/>
      <c r="B324" s="107" t="s">
        <v>1528</v>
      </c>
      <c r="C324" s="817">
        <v>26100</v>
      </c>
      <c r="D324" s="1226">
        <v>26100</v>
      </c>
      <c r="E324" s="1227"/>
      <c r="F324" s="232"/>
      <c r="G324" s="232"/>
      <c r="H324" s="1497">
        <f t="shared" si="8"/>
        <v>0</v>
      </c>
      <c r="I324" s="1497">
        <f t="shared" si="9"/>
        <v>52200</v>
      </c>
      <c r="J324" s="1440"/>
      <c r="K324" s="1490"/>
      <c r="L324" s="1490"/>
    </row>
    <row r="325" spans="1:12" ht="56.25">
      <c r="A325" s="1663"/>
      <c r="B325" s="107" t="s">
        <v>1529</v>
      </c>
      <c r="C325" s="817">
        <v>49200</v>
      </c>
      <c r="D325" s="1226">
        <v>49200</v>
      </c>
      <c r="E325" s="1227"/>
      <c r="F325" s="232"/>
      <c r="G325" s="232"/>
      <c r="H325" s="1497">
        <f t="shared" si="8"/>
        <v>0</v>
      </c>
      <c r="I325" s="1497">
        <f t="shared" si="9"/>
        <v>98400</v>
      </c>
      <c r="J325" s="1440"/>
      <c r="K325" s="1490"/>
      <c r="L325" s="1490"/>
    </row>
    <row r="326" spans="1:12" ht="93.75">
      <c r="A326" s="1663"/>
      <c r="B326" s="425" t="s">
        <v>1530</v>
      </c>
      <c r="C326" s="817">
        <v>10000</v>
      </c>
      <c r="D326" s="817">
        <v>10000</v>
      </c>
      <c r="E326" s="184"/>
      <c r="F326" s="232"/>
      <c r="G326" s="232"/>
      <c r="H326" s="1497">
        <f t="shared" si="8"/>
        <v>0</v>
      </c>
      <c r="I326" s="1497">
        <f t="shared" si="9"/>
        <v>20000</v>
      </c>
      <c r="J326" s="1440"/>
      <c r="K326" s="1490"/>
      <c r="L326" s="1490"/>
    </row>
    <row r="327" spans="1:12" ht="75">
      <c r="A327" s="1663"/>
      <c r="B327" s="425" t="s">
        <v>1531</v>
      </c>
      <c r="C327" s="817">
        <v>23112</v>
      </c>
      <c r="D327" s="817">
        <v>8112</v>
      </c>
      <c r="E327" s="184">
        <v>15000</v>
      </c>
      <c r="F327" s="232"/>
      <c r="G327" s="232"/>
      <c r="H327" s="1497">
        <f t="shared" si="8"/>
        <v>0</v>
      </c>
      <c r="I327" s="1497">
        <f t="shared" si="9"/>
        <v>46224</v>
      </c>
      <c r="J327" s="1440"/>
      <c r="K327" s="1490"/>
      <c r="L327" s="1490"/>
    </row>
    <row r="328" spans="1:12" ht="75">
      <c r="A328" s="1663"/>
      <c r="B328" s="425" t="s">
        <v>1532</v>
      </c>
      <c r="C328" s="817">
        <v>49500</v>
      </c>
      <c r="D328" s="817"/>
      <c r="E328" s="184">
        <v>49500</v>
      </c>
      <c r="F328" s="232"/>
      <c r="G328" s="232"/>
      <c r="H328" s="1497">
        <f t="shared" si="8"/>
        <v>0</v>
      </c>
      <c r="I328" s="1497">
        <f t="shared" si="9"/>
        <v>99000</v>
      </c>
      <c r="J328" s="1440"/>
      <c r="K328" s="1490"/>
      <c r="L328" s="1490"/>
    </row>
    <row r="329" spans="1:12" ht="75">
      <c r="A329" s="1663"/>
      <c r="B329" s="425" t="s">
        <v>1533</v>
      </c>
      <c r="C329" s="817">
        <v>49500</v>
      </c>
      <c r="D329" s="817"/>
      <c r="E329" s="184">
        <v>49500</v>
      </c>
      <c r="F329" s="232"/>
      <c r="G329" s="232"/>
      <c r="H329" s="1497">
        <f t="shared" ref="H329:H392" si="10">E329+D329-C329</f>
        <v>0</v>
      </c>
      <c r="I329" s="1497">
        <f t="shared" ref="I329:I392" si="11">SUM(C329:E329)</f>
        <v>99000</v>
      </c>
      <c r="J329" s="1440"/>
      <c r="K329" s="1490"/>
      <c r="L329" s="1490"/>
    </row>
    <row r="330" spans="1:12" s="7" customFormat="1" ht="37.5">
      <c r="A330" s="1664"/>
      <c r="B330" s="425" t="s">
        <v>1534</v>
      </c>
      <c r="C330" s="817">
        <v>49500</v>
      </c>
      <c r="D330" s="817"/>
      <c r="E330" s="184">
        <v>49500</v>
      </c>
      <c r="F330" s="232"/>
      <c r="G330" s="232"/>
      <c r="H330" s="1497">
        <f t="shared" si="10"/>
        <v>0</v>
      </c>
      <c r="I330" s="1497">
        <f t="shared" si="11"/>
        <v>99000</v>
      </c>
      <c r="J330" s="1435"/>
      <c r="K330" s="1491"/>
      <c r="L330" s="1491"/>
    </row>
    <row r="331" spans="1:12" s="7" customFormat="1" ht="131.25">
      <c r="A331" s="1664"/>
      <c r="B331" s="425" t="s">
        <v>1535</v>
      </c>
      <c r="C331" s="817">
        <v>49112</v>
      </c>
      <c r="D331" s="817">
        <v>49112</v>
      </c>
      <c r="E331" s="184"/>
      <c r="F331" s="232"/>
      <c r="G331" s="232"/>
      <c r="H331" s="1497">
        <f t="shared" si="10"/>
        <v>0</v>
      </c>
      <c r="I331" s="1497">
        <f t="shared" si="11"/>
        <v>98224</v>
      </c>
      <c r="J331" s="1435"/>
      <c r="K331" s="1491"/>
      <c r="L331" s="1491"/>
    </row>
    <row r="332" spans="1:12" s="7" customFormat="1" ht="75">
      <c r="A332" s="1664"/>
      <c r="B332" s="425" t="s">
        <v>1536</v>
      </c>
      <c r="C332" s="817">
        <v>49000</v>
      </c>
      <c r="D332" s="817"/>
      <c r="E332" s="184">
        <v>49000</v>
      </c>
      <c r="F332" s="232"/>
      <c r="G332" s="232"/>
      <c r="H332" s="1497">
        <f t="shared" si="10"/>
        <v>0</v>
      </c>
      <c r="I332" s="1497">
        <f t="shared" si="11"/>
        <v>98000</v>
      </c>
      <c r="J332" s="1435"/>
      <c r="K332" s="1491"/>
      <c r="L332" s="1491"/>
    </row>
    <row r="333" spans="1:12" s="7" customFormat="1" ht="56.25">
      <c r="A333" s="1664"/>
      <c r="B333" s="425" t="s">
        <v>1537</v>
      </c>
      <c r="C333" s="817">
        <v>49500</v>
      </c>
      <c r="D333" s="817"/>
      <c r="E333" s="184">
        <v>49500</v>
      </c>
      <c r="F333" s="232"/>
      <c r="G333" s="232"/>
      <c r="H333" s="1497">
        <f t="shared" si="10"/>
        <v>0</v>
      </c>
      <c r="I333" s="1497">
        <f t="shared" si="11"/>
        <v>99000</v>
      </c>
      <c r="J333" s="1435"/>
      <c r="K333" s="1491"/>
      <c r="L333" s="1491"/>
    </row>
    <row r="334" spans="1:12" s="7" customFormat="1" hidden="1">
      <c r="A334" s="1664"/>
      <c r="B334" s="562"/>
      <c r="C334" s="647"/>
      <c r="D334" s="647"/>
      <c r="E334" s="510"/>
      <c r="F334" s="232"/>
      <c r="G334" s="232"/>
      <c r="H334" s="231">
        <f t="shared" si="10"/>
        <v>0</v>
      </c>
      <c r="I334" s="231">
        <f t="shared" si="11"/>
        <v>0</v>
      </c>
    </row>
    <row r="335" spans="1:12" s="7" customFormat="1" hidden="1">
      <c r="A335" s="1664"/>
      <c r="B335" s="562"/>
      <c r="C335" s="647"/>
      <c r="D335" s="647"/>
      <c r="E335" s="510"/>
      <c r="F335" s="232"/>
      <c r="G335" s="232"/>
      <c r="H335" s="231">
        <f t="shared" si="10"/>
        <v>0</v>
      </c>
      <c r="I335" s="231">
        <f t="shared" si="11"/>
        <v>0</v>
      </c>
    </row>
    <row r="336" spans="1:12" s="7" customFormat="1" hidden="1">
      <c r="A336" s="1664"/>
      <c r="B336" s="107"/>
      <c r="C336" s="589"/>
      <c r="D336" s="589"/>
      <c r="E336" s="510"/>
      <c r="F336" s="232"/>
      <c r="G336" s="232"/>
      <c r="H336" s="231">
        <f t="shared" si="10"/>
        <v>0</v>
      </c>
      <c r="I336" s="231">
        <f t="shared" si="11"/>
        <v>0</v>
      </c>
    </row>
    <row r="337" spans="1:9" s="7" customFormat="1" hidden="1">
      <c r="A337" s="1664"/>
      <c r="B337" s="107"/>
      <c r="C337" s="589"/>
      <c r="D337" s="589"/>
      <c r="E337" s="510"/>
      <c r="F337" s="232"/>
      <c r="G337" s="232"/>
      <c r="H337" s="231">
        <f t="shared" si="10"/>
        <v>0</v>
      </c>
      <c r="I337" s="231">
        <f t="shared" si="11"/>
        <v>0</v>
      </c>
    </row>
    <row r="338" spans="1:9" s="7" customFormat="1" hidden="1">
      <c r="A338" s="1664"/>
      <c r="B338" s="107"/>
      <c r="C338" s="589"/>
      <c r="D338" s="589"/>
      <c r="E338" s="510"/>
      <c r="F338" s="232"/>
      <c r="G338" s="232"/>
      <c r="H338" s="231">
        <f t="shared" si="10"/>
        <v>0</v>
      </c>
      <c r="I338" s="231">
        <f t="shared" si="11"/>
        <v>0</v>
      </c>
    </row>
    <row r="339" spans="1:9" s="7" customFormat="1" hidden="1">
      <c r="A339" s="1664"/>
      <c r="B339" s="107"/>
      <c r="C339" s="589"/>
      <c r="D339" s="589"/>
      <c r="E339" s="510"/>
      <c r="F339" s="232"/>
      <c r="G339" s="232"/>
      <c r="H339" s="231">
        <f t="shared" si="10"/>
        <v>0</v>
      </c>
      <c r="I339" s="231">
        <f t="shared" si="11"/>
        <v>0</v>
      </c>
    </row>
    <row r="340" spans="1:9" s="7" customFormat="1" hidden="1">
      <c r="A340" s="1664"/>
      <c r="B340" s="107"/>
      <c r="C340" s="589"/>
      <c r="D340" s="589"/>
      <c r="E340" s="510"/>
      <c r="F340" s="232"/>
      <c r="G340" s="232"/>
      <c r="H340" s="231">
        <f t="shared" si="10"/>
        <v>0</v>
      </c>
      <c r="I340" s="231">
        <f t="shared" si="11"/>
        <v>0</v>
      </c>
    </row>
    <row r="341" spans="1:9" s="7" customFormat="1" hidden="1">
      <c r="A341" s="1664"/>
      <c r="B341" s="107"/>
      <c r="C341" s="589"/>
      <c r="D341" s="589"/>
      <c r="E341" s="510"/>
      <c r="F341" s="232"/>
      <c r="G341" s="232"/>
      <c r="H341" s="231">
        <f t="shared" si="10"/>
        <v>0</v>
      </c>
      <c r="I341" s="231">
        <f t="shared" si="11"/>
        <v>0</v>
      </c>
    </row>
    <row r="342" spans="1:9" s="7" customFormat="1" hidden="1">
      <c r="A342" s="1664"/>
      <c r="B342" s="371"/>
      <c r="C342" s="732"/>
      <c r="D342" s="732"/>
      <c r="E342" s="678"/>
      <c r="F342" s="232"/>
      <c r="G342" s="232"/>
      <c r="H342" s="231">
        <f t="shared" si="10"/>
        <v>0</v>
      </c>
      <c r="I342" s="231">
        <f t="shared" si="11"/>
        <v>0</v>
      </c>
    </row>
    <row r="343" spans="1:9" s="7" customFormat="1" hidden="1">
      <c r="A343" s="1664"/>
      <c r="B343" s="371"/>
      <c r="C343" s="732"/>
      <c r="D343" s="732"/>
      <c r="E343" s="678"/>
      <c r="F343" s="232"/>
      <c r="G343" s="232"/>
      <c r="H343" s="231">
        <f t="shared" si="10"/>
        <v>0</v>
      </c>
      <c r="I343" s="231">
        <f t="shared" si="11"/>
        <v>0</v>
      </c>
    </row>
    <row r="344" spans="1:9" s="7" customFormat="1" hidden="1">
      <c r="A344" s="1664"/>
      <c r="B344" s="371"/>
      <c r="C344" s="850"/>
      <c r="D344" s="850"/>
      <c r="E344" s="678"/>
      <c r="F344" s="232"/>
      <c r="G344" s="232"/>
      <c r="H344" s="231">
        <f t="shared" si="10"/>
        <v>0</v>
      </c>
      <c r="I344" s="231">
        <f t="shared" si="11"/>
        <v>0</v>
      </c>
    </row>
    <row r="345" spans="1:9" s="7" customFormat="1" hidden="1">
      <c r="A345" s="1664"/>
      <c r="B345" s="371"/>
      <c r="C345" s="604"/>
      <c r="D345" s="604"/>
      <c r="E345" s="648"/>
      <c r="F345" s="232"/>
      <c r="G345" s="232"/>
      <c r="H345" s="231">
        <f t="shared" si="10"/>
        <v>0</v>
      </c>
      <c r="I345" s="231">
        <f t="shared" si="11"/>
        <v>0</v>
      </c>
    </row>
    <row r="346" spans="1:9" s="7" customFormat="1" hidden="1">
      <c r="A346" s="1664"/>
      <c r="B346" s="562"/>
      <c r="C346" s="604"/>
      <c r="D346" s="604"/>
      <c r="E346" s="648"/>
      <c r="F346" s="232"/>
      <c r="G346" s="232"/>
      <c r="H346" s="231">
        <f t="shared" si="10"/>
        <v>0</v>
      </c>
      <c r="I346" s="231">
        <f t="shared" si="11"/>
        <v>0</v>
      </c>
    </row>
    <row r="347" spans="1:9" s="7" customFormat="1" hidden="1">
      <c r="A347" s="1664"/>
      <c r="B347" s="562"/>
      <c r="C347" s="604"/>
      <c r="D347" s="604"/>
      <c r="E347" s="648"/>
      <c r="F347" s="232"/>
      <c r="G347" s="232"/>
      <c r="H347" s="231">
        <f t="shared" si="10"/>
        <v>0</v>
      </c>
      <c r="I347" s="231">
        <f t="shared" si="11"/>
        <v>0</v>
      </c>
    </row>
    <row r="348" spans="1:9" s="7" customFormat="1" hidden="1">
      <c r="A348" s="1664"/>
      <c r="B348" s="562"/>
      <c r="C348" s="604"/>
      <c r="D348" s="604"/>
      <c r="E348" s="648"/>
      <c r="F348" s="232"/>
      <c r="G348" s="232"/>
      <c r="H348" s="231">
        <f t="shared" si="10"/>
        <v>0</v>
      </c>
      <c r="I348" s="231">
        <f t="shared" si="11"/>
        <v>0</v>
      </c>
    </row>
    <row r="349" spans="1:9" s="7" customFormat="1" hidden="1">
      <c r="A349" s="1664"/>
      <c r="B349" s="562"/>
      <c r="C349" s="604"/>
      <c r="D349" s="604"/>
      <c r="E349" s="648"/>
      <c r="F349" s="232"/>
      <c r="G349" s="232"/>
      <c r="H349" s="231">
        <f t="shared" si="10"/>
        <v>0</v>
      </c>
      <c r="I349" s="231">
        <f t="shared" si="11"/>
        <v>0</v>
      </c>
    </row>
    <row r="350" spans="1:9" s="7" customFormat="1" hidden="1">
      <c r="A350" s="1664"/>
      <c r="B350" s="617"/>
      <c r="C350" s="633"/>
      <c r="D350" s="633"/>
      <c r="E350" s="633"/>
      <c r="F350" s="232"/>
      <c r="G350" s="232"/>
      <c r="H350" s="231">
        <f t="shared" si="10"/>
        <v>0</v>
      </c>
      <c r="I350" s="231">
        <f t="shared" si="11"/>
        <v>0</v>
      </c>
    </row>
    <row r="351" spans="1:9" s="7" customFormat="1" hidden="1">
      <c r="A351" s="1664"/>
      <c r="B351" s="107"/>
      <c r="C351" s="649"/>
      <c r="D351" s="649"/>
      <c r="E351" s="256"/>
      <c r="F351" s="232"/>
      <c r="G351" s="232"/>
      <c r="H351" s="231">
        <f t="shared" si="10"/>
        <v>0</v>
      </c>
      <c r="I351" s="231">
        <f t="shared" si="11"/>
        <v>0</v>
      </c>
    </row>
    <row r="352" spans="1:9" s="7" customFormat="1" hidden="1">
      <c r="A352" s="1664"/>
      <c r="B352" s="107"/>
      <c r="C352" s="649"/>
      <c r="D352" s="649"/>
      <c r="E352" s="256"/>
      <c r="F352" s="232"/>
      <c r="G352" s="232"/>
      <c r="H352" s="231">
        <f t="shared" si="10"/>
        <v>0</v>
      </c>
      <c r="I352" s="231">
        <f t="shared" si="11"/>
        <v>0</v>
      </c>
    </row>
    <row r="353" spans="1:9" s="7" customFormat="1" hidden="1">
      <c r="A353" s="1664"/>
      <c r="B353" s="371"/>
      <c r="C353" s="833"/>
      <c r="D353" s="833"/>
      <c r="E353" s="833"/>
      <c r="F353" s="232"/>
      <c r="G353" s="232"/>
      <c r="H353" s="231">
        <f t="shared" si="10"/>
        <v>0</v>
      </c>
      <c r="I353" s="231">
        <f t="shared" si="11"/>
        <v>0</v>
      </c>
    </row>
    <row r="354" spans="1:9" s="7" customFormat="1" hidden="1">
      <c r="A354" s="1664"/>
      <c r="B354" s="371"/>
      <c r="C354" s="833"/>
      <c r="D354" s="833"/>
      <c r="E354" s="833"/>
      <c r="F354" s="232"/>
      <c r="G354" s="232"/>
      <c r="H354" s="231">
        <f t="shared" si="10"/>
        <v>0</v>
      </c>
      <c r="I354" s="231">
        <f t="shared" si="11"/>
        <v>0</v>
      </c>
    </row>
    <row r="355" spans="1:9" s="7" customFormat="1" hidden="1">
      <c r="A355" s="1664"/>
      <c r="B355" s="107"/>
      <c r="C355" s="649"/>
      <c r="D355" s="649"/>
      <c r="E355" s="256"/>
      <c r="F355" s="232"/>
      <c r="G355" s="232"/>
      <c r="H355" s="231">
        <f t="shared" si="10"/>
        <v>0</v>
      </c>
      <c r="I355" s="231">
        <f t="shared" si="11"/>
        <v>0</v>
      </c>
    </row>
    <row r="356" spans="1:9" s="7" customFormat="1" hidden="1">
      <c r="A356" s="1664"/>
      <c r="B356" s="107"/>
      <c r="C356" s="649"/>
      <c r="D356" s="649"/>
      <c r="E356" s="256"/>
      <c r="F356" s="232"/>
      <c r="G356" s="232"/>
      <c r="H356" s="231">
        <f t="shared" si="10"/>
        <v>0</v>
      </c>
      <c r="I356" s="231">
        <f t="shared" si="11"/>
        <v>0</v>
      </c>
    </row>
    <row r="357" spans="1:9" s="7" customFormat="1" hidden="1">
      <c r="A357" s="1664"/>
      <c r="B357" s="107"/>
      <c r="C357" s="649"/>
      <c r="D357" s="649"/>
      <c r="E357" s="256"/>
      <c r="F357" s="232"/>
      <c r="G357" s="232"/>
      <c r="H357" s="231">
        <f t="shared" si="10"/>
        <v>0</v>
      </c>
      <c r="I357" s="231">
        <f t="shared" si="11"/>
        <v>0</v>
      </c>
    </row>
    <row r="358" spans="1:9" s="7" customFormat="1" hidden="1">
      <c r="A358" s="1664"/>
      <c r="B358" s="371"/>
      <c r="C358" s="833"/>
      <c r="D358" s="833"/>
      <c r="E358" s="833"/>
      <c r="F358" s="232"/>
      <c r="G358" s="232"/>
      <c r="H358" s="231">
        <f t="shared" si="10"/>
        <v>0</v>
      </c>
      <c r="I358" s="231">
        <f t="shared" si="11"/>
        <v>0</v>
      </c>
    </row>
    <row r="359" spans="1:9" s="7" customFormat="1" hidden="1">
      <c r="A359" s="1664"/>
      <c r="B359" s="107"/>
      <c r="C359" s="649"/>
      <c r="D359" s="649"/>
      <c r="E359" s="256"/>
      <c r="F359" s="232"/>
      <c r="G359" s="232"/>
      <c r="H359" s="231">
        <f t="shared" si="10"/>
        <v>0</v>
      </c>
      <c r="I359" s="231">
        <f t="shared" si="11"/>
        <v>0</v>
      </c>
    </row>
    <row r="360" spans="1:9" s="7" customFormat="1" hidden="1">
      <c r="A360" s="1664"/>
      <c r="B360" s="107"/>
      <c r="C360" s="256"/>
      <c r="D360" s="256"/>
      <c r="E360" s="256"/>
      <c r="F360" s="232"/>
      <c r="G360" s="232"/>
      <c r="H360" s="231">
        <f t="shared" si="10"/>
        <v>0</v>
      </c>
      <c r="I360" s="231">
        <f t="shared" si="11"/>
        <v>0</v>
      </c>
    </row>
    <row r="361" spans="1:9" s="7" customFormat="1" hidden="1">
      <c r="A361" s="1664"/>
      <c r="B361" s="371"/>
      <c r="C361" s="850"/>
      <c r="D361" s="850"/>
      <c r="E361" s="844"/>
      <c r="F361" s="232"/>
      <c r="G361" s="232"/>
      <c r="H361" s="231">
        <f t="shared" si="10"/>
        <v>0</v>
      </c>
      <c r="I361" s="231">
        <f t="shared" si="11"/>
        <v>0</v>
      </c>
    </row>
    <row r="362" spans="1:9" s="7" customFormat="1" hidden="1">
      <c r="A362" s="1664"/>
      <c r="B362" s="425"/>
      <c r="C362" s="649"/>
      <c r="D362" s="649"/>
      <c r="E362" s="256"/>
      <c r="F362" s="232"/>
      <c r="G362" s="232"/>
      <c r="H362" s="231">
        <f t="shared" si="10"/>
        <v>0</v>
      </c>
      <c r="I362" s="231">
        <f t="shared" si="11"/>
        <v>0</v>
      </c>
    </row>
    <row r="363" spans="1:9" s="7" customFormat="1" hidden="1">
      <c r="A363" s="1664"/>
      <c r="B363" s="770"/>
      <c r="C363" s="771"/>
      <c r="D363" s="771"/>
      <c r="E363" s="772"/>
      <c r="F363" s="232"/>
      <c r="G363" s="232"/>
      <c r="H363" s="231">
        <f t="shared" si="10"/>
        <v>0</v>
      </c>
      <c r="I363" s="231">
        <f t="shared" si="11"/>
        <v>0</v>
      </c>
    </row>
    <row r="364" spans="1:9" s="7" customFormat="1" hidden="1">
      <c r="A364" s="1664"/>
      <c r="B364" s="770"/>
      <c r="C364" s="771"/>
      <c r="D364" s="771"/>
      <c r="E364" s="772"/>
      <c r="F364" s="232"/>
      <c r="G364" s="232"/>
      <c r="H364" s="231">
        <f t="shared" si="10"/>
        <v>0</v>
      </c>
      <c r="I364" s="231">
        <f t="shared" si="11"/>
        <v>0</v>
      </c>
    </row>
    <row r="365" spans="1:9" s="7" customFormat="1" hidden="1">
      <c r="A365" s="1664"/>
      <c r="B365" s="371"/>
      <c r="C365" s="833"/>
      <c r="D365" s="833"/>
      <c r="E365" s="833"/>
      <c r="F365" s="232"/>
      <c r="G365" s="232"/>
      <c r="H365" s="231">
        <f t="shared" si="10"/>
        <v>0</v>
      </c>
      <c r="I365" s="231">
        <f t="shared" si="11"/>
        <v>0</v>
      </c>
    </row>
    <row r="366" spans="1:9" s="7" customFormat="1" hidden="1">
      <c r="A366" s="1664"/>
      <c r="B366" s="773"/>
      <c r="C366" s="771"/>
      <c r="D366" s="771"/>
      <c r="E366" s="772"/>
      <c r="F366" s="232"/>
      <c r="G366" s="232"/>
      <c r="H366" s="231">
        <f t="shared" si="10"/>
        <v>0</v>
      </c>
      <c r="I366" s="231">
        <f t="shared" si="11"/>
        <v>0</v>
      </c>
    </row>
    <row r="367" spans="1:9" s="376" customFormat="1" hidden="1">
      <c r="A367" s="1664"/>
      <c r="B367" s="821"/>
      <c r="C367" s="852"/>
      <c r="D367" s="852"/>
      <c r="E367" s="852"/>
      <c r="F367" s="375"/>
      <c r="G367" s="375"/>
      <c r="H367" s="231">
        <f t="shared" si="10"/>
        <v>0</v>
      </c>
      <c r="I367" s="231">
        <f t="shared" si="11"/>
        <v>0</v>
      </c>
    </row>
    <row r="368" spans="1:9" s="7" customFormat="1" hidden="1">
      <c r="A368" s="1665"/>
      <c r="B368" s="773"/>
      <c r="C368" s="771"/>
      <c r="D368" s="771"/>
      <c r="E368" s="772"/>
      <c r="F368" s="232"/>
      <c r="G368" s="232"/>
      <c r="H368" s="231">
        <f t="shared" si="10"/>
        <v>0</v>
      </c>
      <c r="I368" s="231">
        <f t="shared" si="11"/>
        <v>0</v>
      </c>
    </row>
    <row r="369" spans="1:9" s="7" customFormat="1" hidden="1">
      <c r="A369" s="1665"/>
      <c r="B369" s="770"/>
      <c r="C369" s="771"/>
      <c r="D369" s="771"/>
      <c r="E369" s="772"/>
      <c r="F369" s="232"/>
      <c r="G369" s="232"/>
      <c r="H369" s="231">
        <f t="shared" si="10"/>
        <v>0</v>
      </c>
      <c r="I369" s="231">
        <f t="shared" si="11"/>
        <v>0</v>
      </c>
    </row>
    <row r="370" spans="1:9" s="7" customFormat="1" hidden="1">
      <c r="A370" s="1665"/>
      <c r="B370" s="371"/>
      <c r="C370" s="850"/>
      <c r="D370" s="850"/>
      <c r="E370" s="844"/>
      <c r="F370" s="232"/>
      <c r="G370" s="232"/>
      <c r="H370" s="231">
        <f t="shared" si="10"/>
        <v>0</v>
      </c>
      <c r="I370" s="231">
        <f t="shared" si="11"/>
        <v>0</v>
      </c>
    </row>
    <row r="371" spans="1:9" s="7" customFormat="1" hidden="1">
      <c r="A371" s="1665"/>
      <c r="B371" s="371"/>
      <c r="C371" s="844"/>
      <c r="D371" s="844"/>
      <c r="E371" s="844"/>
      <c r="F371" s="232"/>
      <c r="G371" s="232"/>
      <c r="H371" s="231">
        <f t="shared" si="10"/>
        <v>0</v>
      </c>
      <c r="I371" s="231">
        <f t="shared" si="11"/>
        <v>0</v>
      </c>
    </row>
    <row r="372" spans="1:9" s="7" customFormat="1" hidden="1">
      <c r="A372" s="1665"/>
      <c r="B372" s="371"/>
      <c r="C372" s="844"/>
      <c r="D372" s="844"/>
      <c r="E372" s="844"/>
      <c r="F372" s="232"/>
      <c r="G372" s="232"/>
      <c r="H372" s="231">
        <f t="shared" si="10"/>
        <v>0</v>
      </c>
      <c r="I372" s="231">
        <f t="shared" si="11"/>
        <v>0</v>
      </c>
    </row>
    <row r="373" spans="1:9" s="7" customFormat="1" hidden="1">
      <c r="A373" s="1665"/>
      <c r="B373" s="371"/>
      <c r="C373" s="844"/>
      <c r="D373" s="844"/>
      <c r="E373" s="844"/>
      <c r="F373" s="232"/>
      <c r="G373" s="232"/>
      <c r="H373" s="231">
        <f t="shared" si="10"/>
        <v>0</v>
      </c>
      <c r="I373" s="231">
        <f t="shared" si="11"/>
        <v>0</v>
      </c>
    </row>
    <row r="374" spans="1:9" s="7" customFormat="1" hidden="1">
      <c r="A374" s="1665"/>
      <c r="B374" s="371"/>
      <c r="C374" s="844"/>
      <c r="D374" s="844"/>
      <c r="E374" s="844"/>
      <c r="F374" s="232"/>
      <c r="G374" s="232"/>
      <c r="H374" s="231">
        <f t="shared" si="10"/>
        <v>0</v>
      </c>
      <c r="I374" s="231">
        <f t="shared" si="11"/>
        <v>0</v>
      </c>
    </row>
    <row r="375" spans="1:9" s="7" customFormat="1" hidden="1">
      <c r="A375" s="1665"/>
      <c r="B375" s="371"/>
      <c r="C375" s="844"/>
      <c r="D375" s="844"/>
      <c r="E375" s="844"/>
      <c r="F375" s="232"/>
      <c r="G375" s="232"/>
      <c r="H375" s="231">
        <f t="shared" si="10"/>
        <v>0</v>
      </c>
      <c r="I375" s="231">
        <f t="shared" si="11"/>
        <v>0</v>
      </c>
    </row>
    <row r="376" spans="1:9" s="7" customFormat="1" hidden="1">
      <c r="A376" s="1665"/>
      <c r="B376" s="371"/>
      <c r="C376" s="844"/>
      <c r="D376" s="844"/>
      <c r="E376" s="844"/>
      <c r="F376" s="232"/>
      <c r="G376" s="232"/>
      <c r="H376" s="231">
        <f t="shared" si="10"/>
        <v>0</v>
      </c>
      <c r="I376" s="231">
        <f t="shared" si="11"/>
        <v>0</v>
      </c>
    </row>
    <row r="377" spans="1:9" s="7" customFormat="1" hidden="1">
      <c r="A377" s="1665"/>
      <c r="B377" s="371"/>
      <c r="C377" s="844"/>
      <c r="D377" s="844"/>
      <c r="E377" s="844"/>
      <c r="F377" s="232"/>
      <c r="G377" s="232"/>
      <c r="H377" s="231">
        <f t="shared" si="10"/>
        <v>0</v>
      </c>
      <c r="I377" s="231">
        <f t="shared" si="11"/>
        <v>0</v>
      </c>
    </row>
    <row r="378" spans="1:9" s="7" customFormat="1" hidden="1">
      <c r="A378" s="1665"/>
      <c r="B378" s="371"/>
      <c r="C378" s="844"/>
      <c r="D378" s="844"/>
      <c r="E378" s="844"/>
      <c r="F378" s="232"/>
      <c r="G378" s="232"/>
      <c r="H378" s="231">
        <f t="shared" si="10"/>
        <v>0</v>
      </c>
      <c r="I378" s="231">
        <f t="shared" si="11"/>
        <v>0</v>
      </c>
    </row>
    <row r="379" spans="1:9" s="7" customFormat="1" hidden="1">
      <c r="A379" s="1665"/>
      <c r="B379" s="371"/>
      <c r="C379" s="844"/>
      <c r="D379" s="844"/>
      <c r="E379" s="844"/>
      <c r="F379" s="232"/>
      <c r="G379" s="232"/>
      <c r="H379" s="231">
        <f t="shared" si="10"/>
        <v>0</v>
      </c>
      <c r="I379" s="231">
        <f t="shared" si="11"/>
        <v>0</v>
      </c>
    </row>
    <row r="380" spans="1:9" s="7" customFormat="1" hidden="1">
      <c r="A380" s="1665"/>
      <c r="B380" s="371"/>
      <c r="C380" s="844"/>
      <c r="D380" s="844"/>
      <c r="E380" s="844"/>
      <c r="F380" s="232"/>
      <c r="G380" s="232"/>
      <c r="H380" s="231">
        <f t="shared" si="10"/>
        <v>0</v>
      </c>
      <c r="I380" s="231">
        <f t="shared" si="11"/>
        <v>0</v>
      </c>
    </row>
    <row r="381" spans="1:9" s="7" customFormat="1" hidden="1">
      <c r="A381" s="1665"/>
      <c r="B381" s="371"/>
      <c r="C381" s="844"/>
      <c r="D381" s="844"/>
      <c r="E381" s="844"/>
      <c r="F381" s="232"/>
      <c r="G381" s="232"/>
      <c r="H381" s="231">
        <f t="shared" si="10"/>
        <v>0</v>
      </c>
      <c r="I381" s="231">
        <f t="shared" si="11"/>
        <v>0</v>
      </c>
    </row>
    <row r="382" spans="1:9" s="7" customFormat="1" hidden="1">
      <c r="A382" s="1665"/>
      <c r="B382" s="371"/>
      <c r="C382" s="844"/>
      <c r="D382" s="844"/>
      <c r="E382" s="844"/>
      <c r="F382" s="232"/>
      <c r="G382" s="232"/>
      <c r="H382" s="231">
        <f t="shared" si="10"/>
        <v>0</v>
      </c>
      <c r="I382" s="231">
        <f t="shared" si="11"/>
        <v>0</v>
      </c>
    </row>
    <row r="383" spans="1:9" s="7" customFormat="1" hidden="1">
      <c r="A383" s="1665"/>
      <c r="B383" s="371"/>
      <c r="C383" s="844"/>
      <c r="D383" s="844"/>
      <c r="E383" s="844"/>
      <c r="F383" s="232"/>
      <c r="G383" s="232"/>
      <c r="H383" s="231">
        <f t="shared" si="10"/>
        <v>0</v>
      </c>
      <c r="I383" s="231">
        <f t="shared" si="11"/>
        <v>0</v>
      </c>
    </row>
    <row r="384" spans="1:9" s="7" customFormat="1" hidden="1">
      <c r="A384" s="1665"/>
      <c r="B384" s="371"/>
      <c r="C384" s="844"/>
      <c r="D384" s="844"/>
      <c r="E384" s="844"/>
      <c r="F384" s="232"/>
      <c r="G384" s="232"/>
      <c r="H384" s="231">
        <f t="shared" si="10"/>
        <v>0</v>
      </c>
      <c r="I384" s="231">
        <f t="shared" si="11"/>
        <v>0</v>
      </c>
    </row>
    <row r="385" spans="1:9" s="7" customFormat="1" hidden="1">
      <c r="A385" s="1665"/>
      <c r="B385" s="371"/>
      <c r="C385" s="851"/>
      <c r="D385" s="851"/>
      <c r="E385" s="852"/>
      <c r="F385" s="232"/>
      <c r="G385" s="232"/>
      <c r="H385" s="231">
        <f t="shared" si="10"/>
        <v>0</v>
      </c>
      <c r="I385" s="231">
        <f t="shared" si="11"/>
        <v>0</v>
      </c>
    </row>
    <row r="386" spans="1:9" s="7" customFormat="1" hidden="1">
      <c r="A386" s="1665"/>
      <c r="B386" s="371"/>
      <c r="C386" s="851"/>
      <c r="D386" s="851"/>
      <c r="E386" s="852"/>
      <c r="F386" s="232"/>
      <c r="G386" s="232"/>
      <c r="H386" s="231">
        <f t="shared" si="10"/>
        <v>0</v>
      </c>
      <c r="I386" s="231">
        <f t="shared" si="11"/>
        <v>0</v>
      </c>
    </row>
    <row r="387" spans="1:9" s="7" customFormat="1" hidden="1">
      <c r="A387" s="1665"/>
      <c r="B387" s="371"/>
      <c r="C387" s="851"/>
      <c r="D387" s="851"/>
      <c r="E387" s="852"/>
      <c r="F387" s="232"/>
      <c r="G387" s="232"/>
      <c r="H387" s="231">
        <f t="shared" si="10"/>
        <v>0</v>
      </c>
      <c r="I387" s="231">
        <f t="shared" si="11"/>
        <v>0</v>
      </c>
    </row>
    <row r="388" spans="1:9" s="7" customFormat="1" hidden="1">
      <c r="A388" s="1665"/>
      <c r="B388" s="371"/>
      <c r="C388" s="851"/>
      <c r="D388" s="851"/>
      <c r="E388" s="852"/>
      <c r="F388" s="232"/>
      <c r="G388" s="232"/>
      <c r="H388" s="231">
        <f t="shared" si="10"/>
        <v>0</v>
      </c>
      <c r="I388" s="231">
        <f t="shared" si="11"/>
        <v>0</v>
      </c>
    </row>
    <row r="389" spans="1:9" s="7" customFormat="1" hidden="1">
      <c r="A389" s="1665"/>
      <c r="B389" s="371"/>
      <c r="C389" s="851"/>
      <c r="D389" s="851"/>
      <c r="E389" s="852"/>
      <c r="F389" s="232"/>
      <c r="G389" s="232"/>
      <c r="H389" s="231">
        <f t="shared" si="10"/>
        <v>0</v>
      </c>
      <c r="I389" s="231">
        <f t="shared" si="11"/>
        <v>0</v>
      </c>
    </row>
    <row r="390" spans="1:9" s="7" customFormat="1" hidden="1">
      <c r="A390" s="1665"/>
      <c r="B390" s="857"/>
      <c r="C390" s="833"/>
      <c r="D390" s="859"/>
      <c r="E390" s="860"/>
      <c r="F390" s="232"/>
      <c r="G390" s="232"/>
      <c r="H390" s="231">
        <f t="shared" si="10"/>
        <v>0</v>
      </c>
      <c r="I390" s="231">
        <f t="shared" si="11"/>
        <v>0</v>
      </c>
    </row>
    <row r="391" spans="1:9" s="7" customFormat="1" hidden="1">
      <c r="A391" s="1665"/>
      <c r="B391" s="821"/>
      <c r="C391" s="852"/>
      <c r="D391" s="852"/>
      <c r="E391" s="852"/>
      <c r="F391" s="232"/>
      <c r="G391" s="232"/>
      <c r="H391" s="231">
        <f t="shared" si="10"/>
        <v>0</v>
      </c>
      <c r="I391" s="231">
        <f t="shared" si="11"/>
        <v>0</v>
      </c>
    </row>
    <row r="392" spans="1:9" s="7" customFormat="1" hidden="1">
      <c r="A392" s="1665"/>
      <c r="B392" s="371"/>
      <c r="C392" s="850"/>
      <c r="D392" s="850"/>
      <c r="E392" s="844"/>
      <c r="F392" s="232"/>
      <c r="G392" s="232"/>
      <c r="H392" s="231">
        <f t="shared" si="10"/>
        <v>0</v>
      </c>
      <c r="I392" s="231">
        <f t="shared" si="11"/>
        <v>0</v>
      </c>
    </row>
    <row r="393" spans="1:9" s="7" customFormat="1" hidden="1">
      <c r="A393" s="1665"/>
      <c r="B393" s="371"/>
      <c r="C393" s="850"/>
      <c r="D393" s="850"/>
      <c r="E393" s="844"/>
      <c r="F393" s="232"/>
      <c r="G393" s="232"/>
      <c r="H393" s="231">
        <f t="shared" ref="H393:H456" si="12">E393+D393-C393</f>
        <v>0</v>
      </c>
      <c r="I393" s="231">
        <f t="shared" ref="I393:I456" si="13">SUM(C393:E393)</f>
        <v>0</v>
      </c>
    </row>
    <row r="394" spans="1:9" s="7" customFormat="1" hidden="1">
      <c r="A394" s="1665"/>
      <c r="B394" s="371"/>
      <c r="C394" s="850"/>
      <c r="D394" s="850"/>
      <c r="E394" s="844"/>
      <c r="F394" s="232"/>
      <c r="G394" s="232"/>
      <c r="H394" s="231">
        <f t="shared" si="12"/>
        <v>0</v>
      </c>
      <c r="I394" s="231">
        <f t="shared" si="13"/>
        <v>0</v>
      </c>
    </row>
    <row r="395" spans="1:9" s="7" customFormat="1" hidden="1">
      <c r="A395" s="1665"/>
      <c r="B395" s="371"/>
      <c r="C395" s="850"/>
      <c r="D395" s="850"/>
      <c r="E395" s="844"/>
      <c r="F395" s="232"/>
      <c r="G395" s="232"/>
      <c r="H395" s="231">
        <f t="shared" si="12"/>
        <v>0</v>
      </c>
      <c r="I395" s="231">
        <f t="shared" si="13"/>
        <v>0</v>
      </c>
    </row>
    <row r="396" spans="1:9" s="7" customFormat="1" hidden="1">
      <c r="A396" s="1665"/>
      <c r="B396" s="371"/>
      <c r="C396" s="850"/>
      <c r="D396" s="850"/>
      <c r="E396" s="844"/>
      <c r="F396" s="232"/>
      <c r="G396" s="232"/>
      <c r="H396" s="231">
        <f t="shared" si="12"/>
        <v>0</v>
      </c>
      <c r="I396" s="231">
        <f t="shared" si="13"/>
        <v>0</v>
      </c>
    </row>
    <row r="397" spans="1:9" s="7" customFormat="1" hidden="1">
      <c r="A397" s="1665"/>
      <c r="B397" s="857"/>
      <c r="C397" s="858"/>
      <c r="D397" s="850"/>
      <c r="E397" s="844"/>
      <c r="F397" s="232"/>
      <c r="G397" s="232"/>
      <c r="H397" s="231">
        <f t="shared" si="12"/>
        <v>0</v>
      </c>
      <c r="I397" s="231">
        <f t="shared" si="13"/>
        <v>0</v>
      </c>
    </row>
    <row r="398" spans="1:9" s="7" customFormat="1" hidden="1">
      <c r="A398" s="1665"/>
      <c r="B398" s="857"/>
      <c r="C398" s="858"/>
      <c r="D398" s="850"/>
      <c r="E398" s="844"/>
      <c r="F398" s="232"/>
      <c r="G398" s="232"/>
      <c r="H398" s="231">
        <f t="shared" si="12"/>
        <v>0</v>
      </c>
      <c r="I398" s="231">
        <f t="shared" si="13"/>
        <v>0</v>
      </c>
    </row>
    <row r="399" spans="1:9" s="7" customFormat="1" hidden="1">
      <c r="A399" s="1665"/>
      <c r="B399" s="857"/>
      <c r="C399" s="858"/>
      <c r="D399" s="850"/>
      <c r="E399" s="844"/>
      <c r="F399" s="232"/>
      <c r="G399" s="232"/>
      <c r="H399" s="231">
        <f t="shared" si="12"/>
        <v>0</v>
      </c>
      <c r="I399" s="231">
        <f t="shared" si="13"/>
        <v>0</v>
      </c>
    </row>
    <row r="400" spans="1:9" s="7" customFormat="1" hidden="1">
      <c r="A400" s="1665"/>
      <c r="B400" s="857"/>
      <c r="C400" s="858"/>
      <c r="D400" s="850"/>
      <c r="E400" s="844"/>
      <c r="F400" s="232"/>
      <c r="G400" s="232"/>
      <c r="H400" s="231">
        <f t="shared" si="12"/>
        <v>0</v>
      </c>
      <c r="I400" s="231">
        <f t="shared" si="13"/>
        <v>0</v>
      </c>
    </row>
    <row r="401" spans="1:9" s="7" customFormat="1" hidden="1">
      <c r="A401" s="1665"/>
      <c r="B401" s="857"/>
      <c r="C401" s="858"/>
      <c r="D401" s="850"/>
      <c r="E401" s="844"/>
      <c r="F401" s="232"/>
      <c r="G401" s="232"/>
      <c r="H401" s="231">
        <f t="shared" si="12"/>
        <v>0</v>
      </c>
      <c r="I401" s="231">
        <f t="shared" si="13"/>
        <v>0</v>
      </c>
    </row>
    <row r="402" spans="1:9" s="7" customFormat="1" hidden="1">
      <c r="A402" s="1665"/>
      <c r="B402" s="562"/>
      <c r="C402" s="888"/>
      <c r="D402" s="888"/>
      <c r="E402" s="639"/>
      <c r="F402" s="232"/>
      <c r="G402" s="232"/>
      <c r="H402" s="231">
        <f t="shared" si="12"/>
        <v>0</v>
      </c>
      <c r="I402" s="231">
        <f t="shared" si="13"/>
        <v>0</v>
      </c>
    </row>
    <row r="403" spans="1:9" s="7" customFormat="1" hidden="1">
      <c r="A403" s="1665"/>
      <c r="B403" s="385"/>
      <c r="C403" s="638"/>
      <c r="D403" s="638"/>
      <c r="E403" s="639"/>
      <c r="F403" s="232"/>
      <c r="G403" s="232"/>
      <c r="H403" s="231">
        <f t="shared" si="12"/>
        <v>0</v>
      </c>
      <c r="I403" s="231">
        <f t="shared" si="13"/>
        <v>0</v>
      </c>
    </row>
    <row r="404" spans="1:9" s="7" customFormat="1" hidden="1">
      <c r="A404" s="1665"/>
      <c r="B404" s="385"/>
      <c r="C404" s="638"/>
      <c r="D404" s="638"/>
      <c r="E404" s="639"/>
      <c r="F404" s="232"/>
      <c r="G404" s="232"/>
      <c r="H404" s="231">
        <f t="shared" si="12"/>
        <v>0</v>
      </c>
      <c r="I404" s="231">
        <f t="shared" si="13"/>
        <v>0</v>
      </c>
    </row>
    <row r="405" spans="1:9" s="7" customFormat="1" hidden="1">
      <c r="A405" s="1665"/>
      <c r="B405" s="371"/>
      <c r="C405" s="664"/>
      <c r="D405" s="664"/>
      <c r="E405" s="665"/>
      <c r="F405" s="232"/>
      <c r="G405" s="232"/>
      <c r="H405" s="231">
        <f t="shared" si="12"/>
        <v>0</v>
      </c>
      <c r="I405" s="231">
        <f t="shared" si="13"/>
        <v>0</v>
      </c>
    </row>
    <row r="406" spans="1:9" s="7" customFormat="1" hidden="1">
      <c r="A406" s="1665"/>
      <c r="B406" s="116"/>
      <c r="C406" s="654"/>
      <c r="D406" s="654"/>
      <c r="E406" s="256"/>
      <c r="F406" s="232"/>
      <c r="G406" s="232"/>
      <c r="H406" s="231">
        <f t="shared" si="12"/>
        <v>0</v>
      </c>
      <c r="I406" s="231">
        <f t="shared" si="13"/>
        <v>0</v>
      </c>
    </row>
    <row r="407" spans="1:9" s="7" customFormat="1" hidden="1">
      <c r="A407" s="1665"/>
      <c r="B407" s="116"/>
      <c r="C407" s="654"/>
      <c r="D407" s="654"/>
      <c r="E407" s="256"/>
      <c r="F407" s="232"/>
      <c r="G407" s="232"/>
      <c r="H407" s="231">
        <f t="shared" si="12"/>
        <v>0</v>
      </c>
      <c r="I407" s="231">
        <f t="shared" si="13"/>
        <v>0</v>
      </c>
    </row>
    <row r="408" spans="1:9" s="7" customFormat="1" hidden="1">
      <c r="A408" s="1665"/>
      <c r="B408" s="116"/>
      <c r="C408" s="654"/>
      <c r="D408" s="654"/>
      <c r="E408" s="256"/>
      <c r="F408" s="232"/>
      <c r="G408" s="232"/>
      <c r="H408" s="231">
        <f t="shared" si="12"/>
        <v>0</v>
      </c>
      <c r="I408" s="231">
        <f t="shared" si="13"/>
        <v>0</v>
      </c>
    </row>
    <row r="409" spans="1:9" s="7" customFormat="1" hidden="1">
      <c r="A409" s="1665"/>
      <c r="B409" s="116"/>
      <c r="C409" s="654"/>
      <c r="D409" s="654"/>
      <c r="E409" s="256"/>
      <c r="F409" s="232"/>
      <c r="G409" s="232"/>
      <c r="H409" s="231">
        <f t="shared" si="12"/>
        <v>0</v>
      </c>
      <c r="I409" s="231">
        <f t="shared" si="13"/>
        <v>0</v>
      </c>
    </row>
    <row r="410" spans="1:9" s="7" customFormat="1" hidden="1">
      <c r="A410" s="1665"/>
      <c r="B410" s="116"/>
      <c r="C410" s="654"/>
      <c r="D410" s="654"/>
      <c r="E410" s="256"/>
      <c r="F410" s="232"/>
      <c r="G410" s="232"/>
      <c r="H410" s="231">
        <f t="shared" si="12"/>
        <v>0</v>
      </c>
      <c r="I410" s="231">
        <f t="shared" si="13"/>
        <v>0</v>
      </c>
    </row>
    <row r="411" spans="1:9" s="7" customFormat="1" hidden="1">
      <c r="A411" s="1665"/>
      <c r="B411" s="116"/>
      <c r="C411" s="654"/>
      <c r="D411" s="654"/>
      <c r="E411" s="256"/>
      <c r="F411" s="232"/>
      <c r="G411" s="232"/>
      <c r="H411" s="231">
        <f t="shared" si="12"/>
        <v>0</v>
      </c>
      <c r="I411" s="231">
        <f t="shared" si="13"/>
        <v>0</v>
      </c>
    </row>
    <row r="412" spans="1:9" s="7" customFormat="1" hidden="1">
      <c r="A412" s="1665"/>
      <c r="B412" s="116"/>
      <c r="C412" s="654"/>
      <c r="D412" s="654"/>
      <c r="E412" s="256"/>
      <c r="F412" s="232"/>
      <c r="G412" s="232"/>
      <c r="H412" s="231">
        <f t="shared" si="12"/>
        <v>0</v>
      </c>
      <c r="I412" s="231">
        <f t="shared" si="13"/>
        <v>0</v>
      </c>
    </row>
    <row r="413" spans="1:9" s="7" customFormat="1" hidden="1">
      <c r="A413" s="1665"/>
      <c r="B413" s="116"/>
      <c r="C413" s="654"/>
      <c r="D413" s="654"/>
      <c r="E413" s="256"/>
      <c r="F413" s="232"/>
      <c r="G413" s="232"/>
      <c r="H413" s="231">
        <f t="shared" si="12"/>
        <v>0</v>
      </c>
      <c r="I413" s="231">
        <f t="shared" si="13"/>
        <v>0</v>
      </c>
    </row>
    <row r="414" spans="1:9" s="7" customFormat="1" hidden="1">
      <c r="A414" s="1665"/>
      <c r="B414" s="116"/>
      <c r="C414" s="654"/>
      <c r="D414" s="654"/>
      <c r="E414" s="256"/>
      <c r="F414" s="232"/>
      <c r="G414" s="232"/>
      <c r="H414" s="231">
        <f t="shared" si="12"/>
        <v>0</v>
      </c>
      <c r="I414" s="231">
        <f t="shared" si="13"/>
        <v>0</v>
      </c>
    </row>
    <row r="415" spans="1:9" s="7" customFormat="1" hidden="1">
      <c r="A415" s="1665"/>
      <c r="B415" s="116"/>
      <c r="C415" s="654"/>
      <c r="D415" s="654"/>
      <c r="E415" s="256"/>
      <c r="F415" s="232"/>
      <c r="G415" s="232"/>
      <c r="H415" s="231">
        <f t="shared" si="12"/>
        <v>0</v>
      </c>
      <c r="I415" s="231">
        <f t="shared" si="13"/>
        <v>0</v>
      </c>
    </row>
    <row r="416" spans="1:9" s="7" customFormat="1" hidden="1">
      <c r="A416" s="1665"/>
      <c r="B416" s="116"/>
      <c r="C416" s="654"/>
      <c r="D416" s="654"/>
      <c r="E416" s="256"/>
      <c r="F416" s="232"/>
      <c r="G416" s="232"/>
      <c r="H416" s="231">
        <f t="shared" si="12"/>
        <v>0</v>
      </c>
      <c r="I416" s="231">
        <f t="shared" si="13"/>
        <v>0</v>
      </c>
    </row>
    <row r="417" spans="1:9" s="7" customFormat="1" hidden="1">
      <c r="A417" s="1665"/>
      <c r="B417" s="116"/>
      <c r="C417" s="654"/>
      <c r="D417" s="654"/>
      <c r="E417" s="256"/>
      <c r="F417" s="232"/>
      <c r="G417" s="232"/>
      <c r="H417" s="231">
        <f t="shared" si="12"/>
        <v>0</v>
      </c>
      <c r="I417" s="231">
        <f t="shared" si="13"/>
        <v>0</v>
      </c>
    </row>
    <row r="418" spans="1:9" s="7" customFormat="1" hidden="1">
      <c r="A418" s="1665"/>
      <c r="B418" s="116"/>
      <c r="C418" s="654"/>
      <c r="D418" s="654"/>
      <c r="E418" s="256"/>
      <c r="F418" s="232"/>
      <c r="G418" s="232"/>
      <c r="H418" s="231">
        <f t="shared" si="12"/>
        <v>0</v>
      </c>
      <c r="I418" s="231">
        <f t="shared" si="13"/>
        <v>0</v>
      </c>
    </row>
    <row r="419" spans="1:9" s="7" customFormat="1" hidden="1">
      <c r="A419" s="1665"/>
      <c r="B419" s="116"/>
      <c r="C419" s="654"/>
      <c r="D419" s="654"/>
      <c r="E419" s="256"/>
      <c r="F419" s="232"/>
      <c r="G419" s="232"/>
      <c r="H419" s="231">
        <f t="shared" si="12"/>
        <v>0</v>
      </c>
      <c r="I419" s="231">
        <f t="shared" si="13"/>
        <v>0</v>
      </c>
    </row>
    <row r="420" spans="1:9" s="7" customFormat="1" hidden="1">
      <c r="A420" s="1665"/>
      <c r="B420" s="116"/>
      <c r="C420" s="654"/>
      <c r="D420" s="654"/>
      <c r="E420" s="256"/>
      <c r="F420" s="232"/>
      <c r="G420" s="232"/>
      <c r="H420" s="231">
        <f t="shared" si="12"/>
        <v>0</v>
      </c>
      <c r="I420" s="231">
        <f t="shared" si="13"/>
        <v>0</v>
      </c>
    </row>
    <row r="421" spans="1:9" s="7" customFormat="1" hidden="1">
      <c r="A421" s="1665"/>
      <c r="B421" s="116"/>
      <c r="C421" s="654"/>
      <c r="D421" s="654"/>
      <c r="E421" s="256"/>
      <c r="F421" s="232"/>
      <c r="G421" s="232"/>
      <c r="H421" s="231">
        <f t="shared" si="12"/>
        <v>0</v>
      </c>
      <c r="I421" s="231">
        <f t="shared" si="13"/>
        <v>0</v>
      </c>
    </row>
    <row r="422" spans="1:9" s="7" customFormat="1" hidden="1">
      <c r="A422" s="1665"/>
      <c r="B422" s="116"/>
      <c r="C422" s="654"/>
      <c r="D422" s="654"/>
      <c r="E422" s="256"/>
      <c r="F422" s="232"/>
      <c r="G422" s="232"/>
      <c r="H422" s="231">
        <f t="shared" si="12"/>
        <v>0</v>
      </c>
      <c r="I422" s="231">
        <f t="shared" si="13"/>
        <v>0</v>
      </c>
    </row>
    <row r="423" spans="1:9" s="7" customFormat="1" hidden="1">
      <c r="A423" s="1665"/>
      <c r="B423" s="116"/>
      <c r="C423" s="654"/>
      <c r="D423" s="654"/>
      <c r="E423" s="256"/>
      <c r="F423" s="232"/>
      <c r="G423" s="232"/>
      <c r="H423" s="231">
        <f t="shared" si="12"/>
        <v>0</v>
      </c>
      <c r="I423" s="231">
        <f t="shared" si="13"/>
        <v>0</v>
      </c>
    </row>
    <row r="424" spans="1:9" s="7" customFormat="1" hidden="1">
      <c r="A424" s="1665"/>
      <c r="B424" s="116"/>
      <c r="C424" s="654"/>
      <c r="D424" s="654"/>
      <c r="E424" s="256"/>
      <c r="F424" s="232"/>
      <c r="G424" s="232"/>
      <c r="H424" s="231">
        <f t="shared" si="12"/>
        <v>0</v>
      </c>
      <c r="I424" s="231">
        <f t="shared" si="13"/>
        <v>0</v>
      </c>
    </row>
    <row r="425" spans="1:9" s="7" customFormat="1" hidden="1">
      <c r="A425" s="1665"/>
      <c r="B425" s="116"/>
      <c r="C425" s="654"/>
      <c r="D425" s="654"/>
      <c r="E425" s="256"/>
      <c r="F425" s="232"/>
      <c r="G425" s="232"/>
      <c r="H425" s="231">
        <f t="shared" si="12"/>
        <v>0</v>
      </c>
      <c r="I425" s="231">
        <f t="shared" si="13"/>
        <v>0</v>
      </c>
    </row>
    <row r="426" spans="1:9" s="7" customFormat="1" hidden="1">
      <c r="A426" s="1665"/>
      <c r="B426" s="116"/>
      <c r="C426" s="654"/>
      <c r="D426" s="654"/>
      <c r="E426" s="256"/>
      <c r="F426" s="232"/>
      <c r="G426" s="232"/>
      <c r="H426" s="231">
        <f t="shared" si="12"/>
        <v>0</v>
      </c>
      <c r="I426" s="231">
        <f t="shared" si="13"/>
        <v>0</v>
      </c>
    </row>
    <row r="427" spans="1:9" s="7" customFormat="1" hidden="1">
      <c r="A427" s="1665"/>
      <c r="B427" s="116"/>
      <c r="C427" s="654"/>
      <c r="D427" s="654"/>
      <c r="E427" s="256"/>
      <c r="F427" s="232"/>
      <c r="G427" s="232"/>
      <c r="H427" s="231">
        <f t="shared" si="12"/>
        <v>0</v>
      </c>
      <c r="I427" s="231">
        <f t="shared" si="13"/>
        <v>0</v>
      </c>
    </row>
    <row r="428" spans="1:9" s="7" customFormat="1" hidden="1">
      <c r="A428" s="1665"/>
      <c r="B428" s="116"/>
      <c r="C428" s="654"/>
      <c r="D428" s="654"/>
      <c r="E428" s="256"/>
      <c r="F428" s="232"/>
      <c r="G428" s="232"/>
      <c r="H428" s="231">
        <f t="shared" si="12"/>
        <v>0</v>
      </c>
      <c r="I428" s="231">
        <f t="shared" si="13"/>
        <v>0</v>
      </c>
    </row>
    <row r="429" spans="1:9" s="7" customFormat="1" hidden="1">
      <c r="A429" s="1665"/>
      <c r="B429" s="116"/>
      <c r="C429" s="654"/>
      <c r="D429" s="654"/>
      <c r="E429" s="256"/>
      <c r="F429" s="232"/>
      <c r="G429" s="232"/>
      <c r="H429" s="231">
        <f t="shared" si="12"/>
        <v>0</v>
      </c>
      <c r="I429" s="231">
        <f t="shared" si="13"/>
        <v>0</v>
      </c>
    </row>
    <row r="430" spans="1:9" s="7" customFormat="1" hidden="1">
      <c r="A430" s="1665"/>
      <c r="B430" s="116"/>
      <c r="C430" s="654"/>
      <c r="D430" s="654"/>
      <c r="E430" s="256"/>
      <c r="F430" s="232"/>
      <c r="G430" s="232"/>
      <c r="H430" s="231">
        <f t="shared" si="12"/>
        <v>0</v>
      </c>
      <c r="I430" s="231">
        <f t="shared" si="13"/>
        <v>0</v>
      </c>
    </row>
    <row r="431" spans="1:9" s="7" customFormat="1" hidden="1">
      <c r="A431" s="1665"/>
      <c r="B431" s="116"/>
      <c r="C431" s="654"/>
      <c r="D431" s="654"/>
      <c r="E431" s="256"/>
      <c r="F431" s="232"/>
      <c r="G431" s="232"/>
      <c r="H431" s="231">
        <f t="shared" si="12"/>
        <v>0</v>
      </c>
      <c r="I431" s="231">
        <f t="shared" si="13"/>
        <v>0</v>
      </c>
    </row>
    <row r="432" spans="1:9" s="7" customFormat="1" hidden="1">
      <c r="A432" s="1665"/>
      <c r="B432" s="116"/>
      <c r="C432" s="654"/>
      <c r="D432" s="654"/>
      <c r="E432" s="256"/>
      <c r="F432" s="232"/>
      <c r="G432" s="232"/>
      <c r="H432" s="231">
        <f t="shared" si="12"/>
        <v>0</v>
      </c>
      <c r="I432" s="231">
        <f t="shared" si="13"/>
        <v>0</v>
      </c>
    </row>
    <row r="433" spans="1:12" s="7" customFormat="1" hidden="1">
      <c r="A433" s="1665"/>
      <c r="B433" s="269"/>
      <c r="C433" s="656"/>
      <c r="D433" s="656"/>
      <c r="E433" s="657"/>
      <c r="F433" s="232"/>
      <c r="G433" s="232"/>
      <c r="H433" s="231">
        <f t="shared" si="12"/>
        <v>0</v>
      </c>
      <c r="I433" s="231">
        <f t="shared" si="13"/>
        <v>0</v>
      </c>
    </row>
    <row r="434" spans="1:12">
      <c r="A434" s="1566"/>
      <c r="B434" s="209" t="s">
        <v>985</v>
      </c>
      <c r="C434" s="581">
        <f>SUM(C319:C433)</f>
        <v>5263516</v>
      </c>
      <c r="D434" s="581">
        <f>SUM(D319:D433)</f>
        <v>4531851</v>
      </c>
      <c r="E434" s="581">
        <f>SUM(E319:E433)</f>
        <v>731665</v>
      </c>
      <c r="F434" s="263">
        <f>SUM(F319:F328)</f>
        <v>0</v>
      </c>
      <c r="G434" s="236">
        <f>SUM(G319:G328)</f>
        <v>0</v>
      </c>
      <c r="H434" s="1497">
        <f t="shared" si="12"/>
        <v>0</v>
      </c>
      <c r="I434" s="1497">
        <f t="shared" si="13"/>
        <v>10527032</v>
      </c>
      <c r="J434" s="1440"/>
      <c r="K434" s="1490"/>
      <c r="L434" s="1490"/>
    </row>
    <row r="435" spans="1:12" ht="75">
      <c r="A435" s="1566" t="s">
        <v>1166</v>
      </c>
      <c r="B435" s="181" t="s">
        <v>772</v>
      </c>
      <c r="C435" s="644">
        <v>78100</v>
      </c>
      <c r="D435" s="589">
        <v>78100</v>
      </c>
      <c r="E435" s="644"/>
      <c r="F435" s="264"/>
      <c r="G435" s="183"/>
      <c r="H435" s="1497">
        <f t="shared" si="12"/>
        <v>0</v>
      </c>
      <c r="I435" s="1497">
        <f t="shared" si="13"/>
        <v>156200</v>
      </c>
      <c r="J435" s="1440"/>
      <c r="K435" s="1490"/>
      <c r="L435" s="1490"/>
    </row>
    <row r="436" spans="1:12" ht="112.5">
      <c r="A436" s="1666"/>
      <c r="B436" s="107" t="s">
        <v>773</v>
      </c>
      <c r="C436" s="589">
        <v>150000</v>
      </c>
      <c r="D436" s="589"/>
      <c r="E436" s="510">
        <v>150000</v>
      </c>
      <c r="F436" s="232"/>
      <c r="G436" s="232"/>
      <c r="H436" s="1497">
        <f t="shared" si="12"/>
        <v>0</v>
      </c>
      <c r="I436" s="1497">
        <f t="shared" si="13"/>
        <v>300000</v>
      </c>
      <c r="J436" s="1440"/>
      <c r="K436" s="1490"/>
      <c r="L436" s="1490"/>
    </row>
    <row r="437" spans="1:12" ht="37.5">
      <c r="A437" s="1666"/>
      <c r="B437" s="107" t="s">
        <v>1273</v>
      </c>
      <c r="C437" s="589">
        <v>478746</v>
      </c>
      <c r="D437" s="589">
        <v>478746</v>
      </c>
      <c r="E437" s="510"/>
      <c r="F437" s="232"/>
      <c r="G437" s="232"/>
      <c r="H437" s="1497">
        <f t="shared" si="12"/>
        <v>0</v>
      </c>
      <c r="I437" s="1497">
        <f t="shared" si="13"/>
        <v>957492</v>
      </c>
      <c r="J437" s="1440"/>
      <c r="K437" s="1490"/>
      <c r="L437" s="1490"/>
    </row>
    <row r="438" spans="1:12" ht="56.25">
      <c r="A438" s="1666"/>
      <c r="B438" s="1215" t="s">
        <v>1334</v>
      </c>
      <c r="C438" s="1214">
        <v>550000</v>
      </c>
      <c r="D438" s="256"/>
      <c r="E438" s="256">
        <v>550000</v>
      </c>
      <c r="F438" s="232"/>
      <c r="G438" s="232"/>
      <c r="H438" s="1497">
        <f t="shared" si="12"/>
        <v>0</v>
      </c>
      <c r="I438" s="1497">
        <f t="shared" si="13"/>
        <v>1100000</v>
      </c>
      <c r="J438" s="1440"/>
      <c r="K438" s="1490"/>
      <c r="L438" s="1490"/>
    </row>
    <row r="439" spans="1:12" ht="56.25">
      <c r="A439" s="1666"/>
      <c r="B439" s="1215" t="s">
        <v>1334</v>
      </c>
      <c r="C439" s="1214">
        <v>200000</v>
      </c>
      <c r="D439" s="256"/>
      <c r="E439" s="256">
        <v>200000</v>
      </c>
      <c r="F439" s="232"/>
      <c r="G439" s="232"/>
      <c r="H439" s="1497">
        <f t="shared" si="12"/>
        <v>0</v>
      </c>
      <c r="I439" s="1497">
        <f t="shared" si="13"/>
        <v>400000</v>
      </c>
      <c r="J439" s="1440"/>
      <c r="K439" s="1490"/>
      <c r="L439" s="1490"/>
    </row>
    <row r="440" spans="1:12" ht="56.25">
      <c r="A440" s="1666"/>
      <c r="B440" s="1215" t="s">
        <v>1334</v>
      </c>
      <c r="C440" s="1214">
        <v>200000</v>
      </c>
      <c r="D440" s="256"/>
      <c r="E440" s="256">
        <v>200000</v>
      </c>
      <c r="F440" s="232"/>
      <c r="G440" s="232"/>
      <c r="H440" s="1497">
        <f t="shared" si="12"/>
        <v>0</v>
      </c>
      <c r="I440" s="1497">
        <f t="shared" si="13"/>
        <v>400000</v>
      </c>
      <c r="J440" s="1440"/>
      <c r="K440" s="1490"/>
      <c r="L440" s="1490"/>
    </row>
    <row r="441" spans="1:12" ht="56.25">
      <c r="A441" s="1666"/>
      <c r="B441" s="425" t="s">
        <v>1538</v>
      </c>
      <c r="C441" s="817">
        <v>9112</v>
      </c>
      <c r="D441" s="817">
        <v>9112</v>
      </c>
      <c r="E441" s="184"/>
      <c r="F441" s="232"/>
      <c r="G441" s="232"/>
      <c r="H441" s="1497">
        <f t="shared" si="12"/>
        <v>0</v>
      </c>
      <c r="I441" s="1497">
        <f t="shared" si="13"/>
        <v>18224</v>
      </c>
      <c r="J441" s="1440"/>
      <c r="K441" s="1490"/>
      <c r="L441" s="1490"/>
    </row>
    <row r="442" spans="1:12" ht="37.5">
      <c r="A442" s="1666"/>
      <c r="B442" s="425" t="s">
        <v>1539</v>
      </c>
      <c r="C442" s="1226">
        <v>6000</v>
      </c>
      <c r="D442" s="1226">
        <v>6000</v>
      </c>
      <c r="E442" s="1227"/>
      <c r="F442" s="232"/>
      <c r="G442" s="232"/>
      <c r="H442" s="1497">
        <f t="shared" si="12"/>
        <v>0</v>
      </c>
      <c r="I442" s="1497">
        <f t="shared" si="13"/>
        <v>12000</v>
      </c>
      <c r="J442" s="1440"/>
      <c r="K442" s="1490"/>
      <c r="L442" s="1490"/>
    </row>
    <row r="443" spans="1:12" ht="75">
      <c r="A443" s="1666"/>
      <c r="B443" s="425" t="s">
        <v>1540</v>
      </c>
      <c r="C443" s="1226">
        <v>45000</v>
      </c>
      <c r="D443" s="1226">
        <v>45000</v>
      </c>
      <c r="E443" s="1227"/>
      <c r="F443" s="232"/>
      <c r="G443" s="232"/>
      <c r="H443" s="1497">
        <f t="shared" si="12"/>
        <v>0</v>
      </c>
      <c r="I443" s="1497">
        <f t="shared" si="13"/>
        <v>90000</v>
      </c>
      <c r="J443" s="1440"/>
      <c r="K443" s="1490"/>
      <c r="L443" s="1490"/>
    </row>
    <row r="444" spans="1:12" s="7" customFormat="1" ht="56.25">
      <c r="A444" s="1668"/>
      <c r="B444" s="425" t="s">
        <v>1541</v>
      </c>
      <c r="C444" s="1226">
        <v>14000</v>
      </c>
      <c r="D444" s="1226"/>
      <c r="E444" s="1227">
        <v>14000</v>
      </c>
      <c r="F444" s="232"/>
      <c r="G444" s="232"/>
      <c r="H444" s="1497">
        <f t="shared" si="12"/>
        <v>0</v>
      </c>
      <c r="I444" s="1497">
        <f t="shared" si="13"/>
        <v>28000</v>
      </c>
      <c r="J444" s="1435"/>
      <c r="K444" s="1491"/>
      <c r="L444" s="1491"/>
    </row>
    <row r="445" spans="1:12" s="7" customFormat="1" ht="37.5">
      <c r="A445" s="1668"/>
      <c r="B445" s="425" t="s">
        <v>1542</v>
      </c>
      <c r="C445" s="1226">
        <v>10000</v>
      </c>
      <c r="D445" s="1226">
        <v>10000</v>
      </c>
      <c r="E445" s="1227"/>
      <c r="F445" s="232"/>
      <c r="G445" s="232"/>
      <c r="H445" s="1497">
        <f t="shared" si="12"/>
        <v>0</v>
      </c>
      <c r="I445" s="1497">
        <f t="shared" si="13"/>
        <v>20000</v>
      </c>
      <c r="J445" s="1435"/>
      <c r="K445" s="1491"/>
      <c r="L445" s="1491"/>
    </row>
    <row r="446" spans="1:12" s="7" customFormat="1" ht="75">
      <c r="A446" s="1668"/>
      <c r="B446" s="425" t="s">
        <v>1543</v>
      </c>
      <c r="C446" s="1226">
        <v>100000</v>
      </c>
      <c r="D446" s="1226"/>
      <c r="E446" s="1227">
        <v>100000</v>
      </c>
      <c r="F446" s="232"/>
      <c r="G446" s="232"/>
      <c r="H446" s="1497">
        <f t="shared" si="12"/>
        <v>0</v>
      </c>
      <c r="I446" s="1497">
        <f t="shared" si="13"/>
        <v>200000</v>
      </c>
      <c r="J446" s="1435"/>
      <c r="K446" s="1491"/>
      <c r="L446" s="1491"/>
    </row>
    <row r="447" spans="1:12" s="7" customFormat="1" ht="37.5">
      <c r="A447" s="1668"/>
      <c r="B447" s="425" t="s">
        <v>1544</v>
      </c>
      <c r="C447" s="1226">
        <v>12100</v>
      </c>
      <c r="D447" s="1226"/>
      <c r="E447" s="1227">
        <v>12100</v>
      </c>
      <c r="F447" s="232"/>
      <c r="G447" s="232"/>
      <c r="H447" s="1497">
        <f t="shared" si="12"/>
        <v>0</v>
      </c>
      <c r="I447" s="1497">
        <f t="shared" si="13"/>
        <v>24200</v>
      </c>
      <c r="J447" s="1435"/>
      <c r="K447" s="1491"/>
      <c r="L447" s="1491"/>
    </row>
    <row r="448" spans="1:12" s="7" customFormat="1" hidden="1">
      <c r="A448" s="1668"/>
      <c r="B448" s="352"/>
      <c r="C448" s="670"/>
      <c r="D448" s="670"/>
      <c r="E448" s="671"/>
      <c r="F448" s="232"/>
      <c r="G448" s="232"/>
      <c r="H448" s="231">
        <f t="shared" si="12"/>
        <v>0</v>
      </c>
      <c r="I448" s="231">
        <f t="shared" si="13"/>
        <v>0</v>
      </c>
    </row>
    <row r="449" spans="1:9" s="7" customFormat="1" hidden="1">
      <c r="A449" s="1668"/>
      <c r="B449" s="352"/>
      <c r="C449" s="670"/>
      <c r="D449" s="670"/>
      <c r="E449" s="671"/>
      <c r="F449" s="232"/>
      <c r="G449" s="232"/>
      <c r="H449" s="231">
        <f t="shared" si="12"/>
        <v>0</v>
      </c>
      <c r="I449" s="231">
        <f t="shared" si="13"/>
        <v>0</v>
      </c>
    </row>
    <row r="450" spans="1:9" s="7" customFormat="1" hidden="1">
      <c r="A450" s="1668"/>
      <c r="B450" s="352"/>
      <c r="C450" s="670"/>
      <c r="D450" s="670"/>
      <c r="E450" s="671"/>
      <c r="F450" s="232"/>
      <c r="G450" s="232"/>
      <c r="H450" s="231">
        <f t="shared" si="12"/>
        <v>0</v>
      </c>
      <c r="I450" s="231">
        <f t="shared" si="13"/>
        <v>0</v>
      </c>
    </row>
    <row r="451" spans="1:9" s="7" customFormat="1" hidden="1">
      <c r="A451" s="1668"/>
      <c r="B451" s="107"/>
      <c r="C451" s="256"/>
      <c r="D451" s="256"/>
      <c r="E451" s="256"/>
      <c r="F451" s="232"/>
      <c r="G451" s="232"/>
      <c r="H451" s="231">
        <f t="shared" si="12"/>
        <v>0</v>
      </c>
      <c r="I451" s="231">
        <f t="shared" si="13"/>
        <v>0</v>
      </c>
    </row>
    <row r="452" spans="1:9" s="7" customFormat="1" hidden="1">
      <c r="A452" s="1668"/>
      <c r="B452" s="359"/>
      <c r="C452" s="659"/>
      <c r="D452" s="660"/>
      <c r="E452" s="660"/>
      <c r="F452" s="232"/>
      <c r="G452" s="232"/>
      <c r="H452" s="231">
        <f t="shared" si="12"/>
        <v>0</v>
      </c>
      <c r="I452" s="231">
        <f t="shared" si="13"/>
        <v>0</v>
      </c>
    </row>
    <row r="453" spans="1:9" s="7" customFormat="1" hidden="1">
      <c r="A453" s="1669"/>
      <c r="B453" s="385"/>
      <c r="C453" s="638"/>
      <c r="D453" s="638"/>
      <c r="E453" s="639"/>
      <c r="F453" s="232"/>
      <c r="G453" s="232"/>
      <c r="H453" s="231">
        <f t="shared" si="12"/>
        <v>0</v>
      </c>
      <c r="I453" s="231">
        <f t="shared" si="13"/>
        <v>0</v>
      </c>
    </row>
    <row r="454" spans="1:9" s="7" customFormat="1" hidden="1">
      <c r="A454" s="1669"/>
      <c r="B454" s="385"/>
      <c r="C454" s="638"/>
      <c r="D454" s="638"/>
      <c r="E454" s="639"/>
      <c r="F454" s="232"/>
      <c r="G454" s="232"/>
      <c r="H454" s="231">
        <f t="shared" si="12"/>
        <v>0</v>
      </c>
      <c r="I454" s="231">
        <f t="shared" si="13"/>
        <v>0</v>
      </c>
    </row>
    <row r="455" spans="1:9" s="7" customFormat="1" hidden="1">
      <c r="A455" s="1669"/>
      <c r="B455" s="385"/>
      <c r="C455" s="638"/>
      <c r="D455" s="638"/>
      <c r="E455" s="639"/>
      <c r="F455" s="232"/>
      <c r="G455" s="232"/>
      <c r="H455" s="231">
        <f t="shared" si="12"/>
        <v>0</v>
      </c>
      <c r="I455" s="231">
        <f t="shared" si="13"/>
        <v>0</v>
      </c>
    </row>
    <row r="456" spans="1:9" s="7" customFormat="1" hidden="1">
      <c r="A456" s="1669"/>
      <c r="B456" s="385"/>
      <c r="C456" s="638"/>
      <c r="D456" s="638"/>
      <c r="E456" s="639"/>
      <c r="F456" s="232"/>
      <c r="G456" s="232"/>
      <c r="H456" s="231">
        <f t="shared" si="12"/>
        <v>0</v>
      </c>
      <c r="I456" s="231">
        <f t="shared" si="13"/>
        <v>0</v>
      </c>
    </row>
    <row r="457" spans="1:9" s="7" customFormat="1" hidden="1">
      <c r="A457" s="1669"/>
      <c r="B457" s="385"/>
      <c r="C457" s="638"/>
      <c r="D457" s="638"/>
      <c r="E457" s="639"/>
      <c r="F457" s="232"/>
      <c r="G457" s="232"/>
      <c r="H457" s="231">
        <f t="shared" ref="H457:H520" si="14">E457+D457-C457</f>
        <v>0</v>
      </c>
      <c r="I457" s="231">
        <f t="shared" ref="I457:I520" si="15">SUM(C457:E457)</f>
        <v>0</v>
      </c>
    </row>
    <row r="458" spans="1:9" s="7" customFormat="1" hidden="1">
      <c r="A458" s="1669"/>
      <c r="B458" s="385"/>
      <c r="C458" s="638"/>
      <c r="D458" s="638"/>
      <c r="E458" s="639"/>
      <c r="F458" s="232"/>
      <c r="G458" s="232"/>
      <c r="H458" s="231">
        <f t="shared" si="14"/>
        <v>0</v>
      </c>
      <c r="I458" s="231">
        <f t="shared" si="15"/>
        <v>0</v>
      </c>
    </row>
    <row r="459" spans="1:9" s="7" customFormat="1" hidden="1">
      <c r="A459" s="1669"/>
      <c r="B459" s="385"/>
      <c r="C459" s="638"/>
      <c r="D459" s="638"/>
      <c r="E459" s="639"/>
      <c r="F459" s="232"/>
      <c r="G459" s="232"/>
      <c r="H459" s="231">
        <f t="shared" si="14"/>
        <v>0</v>
      </c>
      <c r="I459" s="231">
        <f t="shared" si="15"/>
        <v>0</v>
      </c>
    </row>
    <row r="460" spans="1:9" s="7" customFormat="1" hidden="1">
      <c r="A460" s="1669"/>
      <c r="B460" s="385"/>
      <c r="C460" s="638"/>
      <c r="D460" s="638"/>
      <c r="E460" s="639"/>
      <c r="F460" s="232"/>
      <c r="G460" s="232"/>
      <c r="H460" s="231">
        <f t="shared" si="14"/>
        <v>0</v>
      </c>
      <c r="I460" s="231">
        <f t="shared" si="15"/>
        <v>0</v>
      </c>
    </row>
    <row r="461" spans="1:9" s="388" customFormat="1" hidden="1">
      <c r="A461" s="1669"/>
      <c r="B461" s="390"/>
      <c r="C461" s="672"/>
      <c r="D461" s="653"/>
      <c r="E461" s="653"/>
      <c r="F461" s="389"/>
      <c r="G461" s="389"/>
      <c r="H461" s="231">
        <f t="shared" si="14"/>
        <v>0</v>
      </c>
      <c r="I461" s="231">
        <f t="shared" si="15"/>
        <v>0</v>
      </c>
    </row>
    <row r="462" spans="1:9" s="388" customFormat="1" hidden="1">
      <c r="A462" s="1669"/>
      <c r="B462" s="400"/>
      <c r="C462" s="672"/>
      <c r="D462" s="652"/>
      <c r="E462" s="653"/>
      <c r="F462" s="389"/>
      <c r="G462" s="389"/>
      <c r="H462" s="231">
        <f t="shared" si="14"/>
        <v>0</v>
      </c>
      <c r="I462" s="231">
        <f t="shared" si="15"/>
        <v>0</v>
      </c>
    </row>
    <row r="463" spans="1:9" s="388" customFormat="1" hidden="1">
      <c r="A463" s="1669"/>
      <c r="B463" s="401"/>
      <c r="C463" s="672"/>
      <c r="D463" s="652"/>
      <c r="E463" s="653"/>
      <c r="F463" s="389"/>
      <c r="G463" s="389"/>
      <c r="H463" s="231">
        <f t="shared" si="14"/>
        <v>0</v>
      </c>
      <c r="I463" s="231">
        <f t="shared" si="15"/>
        <v>0</v>
      </c>
    </row>
    <row r="464" spans="1:9" s="388" customFormat="1" hidden="1">
      <c r="A464" s="1669"/>
      <c r="B464" s="400"/>
      <c r="C464" s="651"/>
      <c r="D464" s="652"/>
      <c r="E464" s="653"/>
      <c r="F464" s="389"/>
      <c r="G464" s="389"/>
      <c r="H464" s="231">
        <f t="shared" si="14"/>
        <v>0</v>
      </c>
      <c r="I464" s="231">
        <f t="shared" si="15"/>
        <v>0</v>
      </c>
    </row>
    <row r="465" spans="1:12" s="7" customFormat="1" ht="18" hidden="1" customHeight="1">
      <c r="A465" s="1669"/>
      <c r="B465" s="390"/>
      <c r="C465" s="673"/>
      <c r="D465" s="673"/>
      <c r="E465" s="651"/>
      <c r="F465" s="389"/>
      <c r="G465" s="389"/>
      <c r="H465" s="231">
        <f t="shared" si="14"/>
        <v>0</v>
      </c>
      <c r="I465" s="231">
        <f t="shared" si="15"/>
        <v>0</v>
      </c>
    </row>
    <row r="466" spans="1:12" s="7" customFormat="1" ht="18" hidden="1" customHeight="1">
      <c r="A466" s="1669"/>
      <c r="B466" s="107"/>
      <c r="C466" s="654"/>
      <c r="D466" s="654"/>
      <c r="E466" s="256"/>
      <c r="F466" s="232"/>
      <c r="G466" s="232"/>
      <c r="H466" s="231">
        <f t="shared" si="14"/>
        <v>0</v>
      </c>
      <c r="I466" s="231">
        <f t="shared" si="15"/>
        <v>0</v>
      </c>
    </row>
    <row r="467" spans="1:12" s="7" customFormat="1" ht="18" hidden="1" customHeight="1">
      <c r="A467" s="1669"/>
      <c r="B467" s="107"/>
      <c r="C467" s="654"/>
      <c r="D467" s="654"/>
      <c r="E467" s="256"/>
      <c r="F467" s="232"/>
      <c r="G467" s="232"/>
      <c r="H467" s="231">
        <f t="shared" si="14"/>
        <v>0</v>
      </c>
      <c r="I467" s="231">
        <f t="shared" si="15"/>
        <v>0</v>
      </c>
    </row>
    <row r="468" spans="1:12" s="7" customFormat="1" ht="18" hidden="1" customHeight="1">
      <c r="A468" s="1669"/>
      <c r="B468" s="107"/>
      <c r="C468" s="654"/>
      <c r="D468" s="654"/>
      <c r="E468" s="654"/>
      <c r="F468" s="232"/>
      <c r="G468" s="232"/>
      <c r="H468" s="231">
        <f t="shared" si="14"/>
        <v>0</v>
      </c>
      <c r="I468" s="231">
        <f t="shared" si="15"/>
        <v>0</v>
      </c>
    </row>
    <row r="469" spans="1:12" s="7" customFormat="1" ht="18" hidden="1" customHeight="1">
      <c r="A469" s="1669"/>
      <c r="B469" s="107"/>
      <c r="C469" s="654"/>
      <c r="D469" s="654"/>
      <c r="E469" s="654"/>
      <c r="F469" s="232"/>
      <c r="G469" s="232"/>
      <c r="H469" s="231">
        <f t="shared" si="14"/>
        <v>0</v>
      </c>
      <c r="I469" s="231">
        <f t="shared" si="15"/>
        <v>0</v>
      </c>
    </row>
    <row r="470" spans="1:12" s="7" customFormat="1" ht="18" hidden="1" customHeight="1">
      <c r="A470" s="1669"/>
      <c r="B470" s="107"/>
      <c r="C470" s="654"/>
      <c r="D470" s="654"/>
      <c r="E470" s="654"/>
      <c r="F470" s="232"/>
      <c r="G470" s="232"/>
      <c r="H470" s="231">
        <f t="shared" si="14"/>
        <v>0</v>
      </c>
      <c r="I470" s="231">
        <f t="shared" si="15"/>
        <v>0</v>
      </c>
    </row>
    <row r="471" spans="1:12" s="7" customFormat="1" ht="18" hidden="1" customHeight="1">
      <c r="A471" s="1669"/>
      <c r="B471" s="107"/>
      <c r="C471" s="654"/>
      <c r="D471" s="654"/>
      <c r="E471" s="654"/>
      <c r="F471" s="232"/>
      <c r="G471" s="232"/>
      <c r="H471" s="231">
        <f t="shared" si="14"/>
        <v>0</v>
      </c>
      <c r="I471" s="231">
        <f t="shared" si="15"/>
        <v>0</v>
      </c>
    </row>
    <row r="472" spans="1:12" s="7" customFormat="1" ht="18" hidden="1" customHeight="1">
      <c r="A472" s="1669"/>
      <c r="B472" s="107"/>
      <c r="C472" s="654"/>
      <c r="D472" s="654"/>
      <c r="E472" s="654"/>
      <c r="F472" s="232"/>
      <c r="G472" s="232"/>
      <c r="H472" s="231">
        <f t="shared" si="14"/>
        <v>0</v>
      </c>
      <c r="I472" s="231">
        <f t="shared" si="15"/>
        <v>0</v>
      </c>
    </row>
    <row r="473" spans="1:12" s="7" customFormat="1" ht="18" hidden="1" customHeight="1">
      <c r="A473" s="1669"/>
      <c r="B473" s="268"/>
      <c r="C473" s="656"/>
      <c r="D473" s="656"/>
      <c r="E473" s="656"/>
      <c r="F473" s="232"/>
      <c r="G473" s="232"/>
      <c r="H473" s="231">
        <f t="shared" si="14"/>
        <v>0</v>
      </c>
      <c r="I473" s="231">
        <f t="shared" si="15"/>
        <v>0</v>
      </c>
    </row>
    <row r="474" spans="1:12">
      <c r="A474" s="1666"/>
      <c r="B474" s="209" t="s">
        <v>985</v>
      </c>
      <c r="C474" s="581">
        <f>SUM(C435:C473)</f>
        <v>1853058</v>
      </c>
      <c r="D474" s="581">
        <f>SUM(D435:D473)</f>
        <v>626958</v>
      </c>
      <c r="E474" s="581">
        <f>SUM(E435:E473)</f>
        <v>1226100</v>
      </c>
      <c r="F474" s="263">
        <f>SUM(F435:F452)</f>
        <v>0</v>
      </c>
      <c r="G474" s="236">
        <f>SUM(G435:G452)</f>
        <v>0</v>
      </c>
      <c r="H474" s="1497">
        <f t="shared" si="14"/>
        <v>0</v>
      </c>
      <c r="I474" s="1497">
        <f t="shared" si="15"/>
        <v>3706116</v>
      </c>
      <c r="J474" s="1440"/>
      <c r="K474" s="1490"/>
      <c r="L474" s="1490"/>
    </row>
    <row r="475" spans="1:12" ht="75">
      <c r="A475" s="1663" t="s">
        <v>1142</v>
      </c>
      <c r="B475" s="181" t="s">
        <v>772</v>
      </c>
      <c r="C475" s="589">
        <v>312800</v>
      </c>
      <c r="D475" s="589">
        <v>312800</v>
      </c>
      <c r="E475" s="510"/>
      <c r="F475" s="232"/>
      <c r="G475" s="232"/>
      <c r="H475" s="1497">
        <f t="shared" si="14"/>
        <v>0</v>
      </c>
      <c r="I475" s="1497">
        <f t="shared" si="15"/>
        <v>625600</v>
      </c>
      <c r="J475" s="1440"/>
      <c r="K475" s="1490"/>
      <c r="L475" s="1490"/>
    </row>
    <row r="476" spans="1:12" s="374" customFormat="1" ht="37.5">
      <c r="A476" s="1663"/>
      <c r="B476" s="107" t="s">
        <v>1273</v>
      </c>
      <c r="C476" s="674">
        <v>239593</v>
      </c>
      <c r="D476" s="674">
        <v>239593</v>
      </c>
      <c r="E476" s="675"/>
      <c r="F476" s="375"/>
      <c r="G476" s="375"/>
      <c r="H476" s="1497">
        <f t="shared" si="14"/>
        <v>0</v>
      </c>
      <c r="I476" s="1497">
        <f t="shared" si="15"/>
        <v>479186</v>
      </c>
      <c r="J476" s="1440"/>
      <c r="K476" s="1490"/>
      <c r="L476" s="1490"/>
    </row>
    <row r="477" spans="1:12" ht="75">
      <c r="A477" s="1663"/>
      <c r="B477" s="1215" t="s">
        <v>1335</v>
      </c>
      <c r="C477" s="1214">
        <v>200000</v>
      </c>
      <c r="D477" s="256">
        <v>99608</v>
      </c>
      <c r="E477" s="256">
        <v>100392</v>
      </c>
      <c r="F477" s="232"/>
      <c r="G477" s="232"/>
      <c r="H477" s="1497">
        <f t="shared" si="14"/>
        <v>0</v>
      </c>
      <c r="I477" s="1497">
        <f t="shared" si="15"/>
        <v>400000</v>
      </c>
      <c r="J477" s="1440"/>
      <c r="K477" s="1490"/>
      <c r="L477" s="1490"/>
    </row>
    <row r="478" spans="1:12" ht="37.5">
      <c r="A478" s="1663"/>
      <c r="B478" s="107" t="s">
        <v>1545</v>
      </c>
      <c r="C478" s="184">
        <v>20000</v>
      </c>
      <c r="D478" s="184"/>
      <c r="E478" s="184">
        <v>20000</v>
      </c>
      <c r="F478" s="232"/>
      <c r="G478" s="232"/>
      <c r="H478" s="1497">
        <f t="shared" si="14"/>
        <v>0</v>
      </c>
      <c r="I478" s="1497">
        <f t="shared" si="15"/>
        <v>40000</v>
      </c>
      <c r="J478" s="1440"/>
      <c r="K478" s="1490"/>
      <c r="L478" s="1490"/>
    </row>
    <row r="479" spans="1:12" ht="37.5">
      <c r="A479" s="1663"/>
      <c r="B479" s="107" t="s">
        <v>1546</v>
      </c>
      <c r="C479" s="184">
        <v>10000</v>
      </c>
      <c r="D479" s="184"/>
      <c r="E479" s="184">
        <v>10000</v>
      </c>
      <c r="F479" s="232"/>
      <c r="G479" s="232"/>
      <c r="H479" s="1497">
        <f t="shared" si="14"/>
        <v>0</v>
      </c>
      <c r="I479" s="1497">
        <f t="shared" si="15"/>
        <v>20000</v>
      </c>
      <c r="J479" s="1440"/>
      <c r="K479" s="1490"/>
      <c r="L479" s="1490"/>
    </row>
    <row r="480" spans="1:12" ht="131.25">
      <c r="A480" s="1663"/>
      <c r="B480" s="107" t="s">
        <v>1547</v>
      </c>
      <c r="C480" s="1226">
        <v>30000</v>
      </c>
      <c r="D480" s="1226">
        <v>30000</v>
      </c>
      <c r="E480" s="1227"/>
      <c r="F480" s="232"/>
      <c r="G480" s="232"/>
      <c r="H480" s="1497">
        <f t="shared" si="14"/>
        <v>0</v>
      </c>
      <c r="I480" s="1497">
        <f t="shared" si="15"/>
        <v>60000</v>
      </c>
      <c r="J480" s="1440"/>
      <c r="K480" s="1490"/>
      <c r="L480" s="1490"/>
    </row>
    <row r="481" spans="1:12" ht="37.5">
      <c r="A481" s="1663"/>
      <c r="B481" s="107" t="s">
        <v>1548</v>
      </c>
      <c r="C481" s="1226">
        <v>25000</v>
      </c>
      <c r="D481" s="1226"/>
      <c r="E481" s="1227">
        <v>25000</v>
      </c>
      <c r="F481" s="232"/>
      <c r="G481" s="232"/>
      <c r="H481" s="1497">
        <f t="shared" si="14"/>
        <v>0</v>
      </c>
      <c r="I481" s="1497">
        <f t="shared" si="15"/>
        <v>50000</v>
      </c>
      <c r="J481" s="1440"/>
      <c r="K481" s="1490"/>
      <c r="L481" s="1490"/>
    </row>
    <row r="482" spans="1:12" ht="93.75">
      <c r="A482" s="1663"/>
      <c r="B482" s="107" t="s">
        <v>1549</v>
      </c>
      <c r="C482" s="1226">
        <v>50000</v>
      </c>
      <c r="D482" s="1226"/>
      <c r="E482" s="1227">
        <v>50000</v>
      </c>
      <c r="F482" s="232"/>
      <c r="G482" s="232"/>
      <c r="H482" s="1497">
        <f t="shared" si="14"/>
        <v>0</v>
      </c>
      <c r="I482" s="1497">
        <f t="shared" si="15"/>
        <v>100000</v>
      </c>
      <c r="J482" s="1440"/>
      <c r="K482" s="1490"/>
      <c r="L482" s="1490"/>
    </row>
    <row r="483" spans="1:12" ht="37.5">
      <c r="A483" s="1663"/>
      <c r="B483" s="107" t="s">
        <v>1550</v>
      </c>
      <c r="C483" s="1226">
        <v>77112</v>
      </c>
      <c r="D483" s="1226">
        <v>77112</v>
      </c>
      <c r="E483" s="1227"/>
      <c r="F483" s="232"/>
      <c r="G483" s="232"/>
      <c r="H483" s="1497">
        <f t="shared" si="14"/>
        <v>0</v>
      </c>
      <c r="I483" s="1497">
        <f t="shared" si="15"/>
        <v>154224</v>
      </c>
      <c r="J483" s="1440"/>
      <c r="K483" s="1490"/>
      <c r="L483" s="1490"/>
    </row>
    <row r="484" spans="1:12" ht="75">
      <c r="A484" s="1663"/>
      <c r="B484" s="107" t="s">
        <v>1551</v>
      </c>
      <c r="C484" s="817">
        <v>15000</v>
      </c>
      <c r="D484" s="641">
        <v>15000</v>
      </c>
      <c r="E484" s="641"/>
      <c r="F484" s="232"/>
      <c r="G484" s="232"/>
      <c r="H484" s="1497">
        <f t="shared" si="14"/>
        <v>0</v>
      </c>
      <c r="I484" s="1497">
        <f t="shared" si="15"/>
        <v>30000</v>
      </c>
      <c r="J484" s="1440"/>
      <c r="K484" s="1490"/>
      <c r="L484" s="1490"/>
    </row>
    <row r="485" spans="1:12" ht="150">
      <c r="A485" s="1663"/>
      <c r="B485" s="425" t="s">
        <v>1552</v>
      </c>
      <c r="C485" s="1226">
        <v>35000</v>
      </c>
      <c r="D485" s="1226">
        <v>19780</v>
      </c>
      <c r="E485" s="1227">
        <v>15220</v>
      </c>
      <c r="F485" s="232"/>
      <c r="G485" s="232"/>
      <c r="H485" s="1497">
        <f t="shared" si="14"/>
        <v>0</v>
      </c>
      <c r="I485" s="1497">
        <f t="shared" si="15"/>
        <v>70000</v>
      </c>
      <c r="J485" s="1440"/>
      <c r="K485" s="1490"/>
      <c r="L485" s="1490"/>
    </row>
    <row r="486" spans="1:12" ht="93.75">
      <c r="A486" s="1663"/>
      <c r="B486" s="107" t="s">
        <v>1553</v>
      </c>
      <c r="C486" s="817">
        <v>6000</v>
      </c>
      <c r="D486" s="817">
        <v>6000</v>
      </c>
      <c r="E486" s="184"/>
      <c r="F486" s="232"/>
      <c r="G486" s="232"/>
      <c r="H486" s="1497">
        <f t="shared" si="14"/>
        <v>0</v>
      </c>
      <c r="I486" s="1497">
        <f t="shared" si="15"/>
        <v>12000</v>
      </c>
      <c r="J486" s="1440"/>
      <c r="K486" s="1490"/>
      <c r="L486" s="1490"/>
    </row>
    <row r="487" spans="1:12" hidden="1">
      <c r="A487" s="1663"/>
      <c r="B487" s="107"/>
      <c r="C487" s="589"/>
      <c r="D487" s="589"/>
      <c r="E487" s="589"/>
      <c r="F487" s="232"/>
      <c r="G487" s="232"/>
      <c r="H487" s="231">
        <f t="shared" si="14"/>
        <v>0</v>
      </c>
      <c r="I487" s="231">
        <f t="shared" si="15"/>
        <v>0</v>
      </c>
    </row>
    <row r="488" spans="1:12" hidden="1">
      <c r="A488" s="1663"/>
      <c r="B488" s="107"/>
      <c r="C488" s="589"/>
      <c r="D488" s="589"/>
      <c r="E488" s="589"/>
      <c r="F488" s="232"/>
      <c r="G488" s="232"/>
      <c r="H488" s="231">
        <f t="shared" si="14"/>
        <v>0</v>
      </c>
      <c r="I488" s="231">
        <f t="shared" si="15"/>
        <v>0</v>
      </c>
    </row>
    <row r="489" spans="1:12" hidden="1">
      <c r="A489" s="1663"/>
      <c r="B489" s="107"/>
      <c r="C489" s="589"/>
      <c r="D489" s="589"/>
      <c r="E489" s="589"/>
      <c r="F489" s="232"/>
      <c r="G489" s="232"/>
      <c r="H489" s="231">
        <f t="shared" si="14"/>
        <v>0</v>
      </c>
      <c r="I489" s="231">
        <f t="shared" si="15"/>
        <v>0</v>
      </c>
    </row>
    <row r="490" spans="1:12" hidden="1">
      <c r="A490" s="1663"/>
      <c r="B490" s="107"/>
      <c r="C490" s="256"/>
      <c r="D490" s="256"/>
      <c r="E490" s="256"/>
      <c r="F490" s="232"/>
      <c r="G490" s="232"/>
      <c r="H490" s="231">
        <f t="shared" si="14"/>
        <v>0</v>
      </c>
      <c r="I490" s="231">
        <f t="shared" si="15"/>
        <v>0</v>
      </c>
    </row>
    <row r="491" spans="1:12" s="93" customFormat="1" hidden="1">
      <c r="A491" s="1663"/>
      <c r="B491" s="107"/>
      <c r="C491" s="256"/>
      <c r="D491" s="256"/>
      <c r="E491" s="256"/>
      <c r="F491" s="239"/>
      <c r="G491" s="239"/>
      <c r="H491" s="231">
        <f t="shared" si="14"/>
        <v>0</v>
      </c>
      <c r="I491" s="231">
        <f t="shared" si="15"/>
        <v>0</v>
      </c>
    </row>
    <row r="492" spans="1:12" s="7" customFormat="1" hidden="1">
      <c r="A492" s="1664"/>
      <c r="B492" s="107"/>
      <c r="C492" s="256"/>
      <c r="D492" s="256"/>
      <c r="E492" s="256"/>
      <c r="F492" s="232"/>
      <c r="G492" s="232"/>
      <c r="H492" s="231">
        <f t="shared" si="14"/>
        <v>0</v>
      </c>
      <c r="I492" s="231">
        <f t="shared" si="15"/>
        <v>0</v>
      </c>
    </row>
    <row r="493" spans="1:12" s="7" customFormat="1" hidden="1">
      <c r="A493" s="1664"/>
      <c r="B493" s="107"/>
      <c r="C493" s="256"/>
      <c r="D493" s="256"/>
      <c r="E493" s="256"/>
      <c r="F493" s="232"/>
      <c r="G493" s="232"/>
      <c r="H493" s="231">
        <f t="shared" si="14"/>
        <v>0</v>
      </c>
      <c r="I493" s="231">
        <f t="shared" si="15"/>
        <v>0</v>
      </c>
    </row>
    <row r="494" spans="1:12" s="7" customFormat="1" hidden="1">
      <c r="A494" s="1664"/>
      <c r="B494" s="107"/>
      <c r="C494" s="649"/>
      <c r="D494" s="649"/>
      <c r="E494" s="256"/>
      <c r="F494" s="232"/>
      <c r="G494" s="232"/>
      <c r="H494" s="231">
        <f t="shared" si="14"/>
        <v>0</v>
      </c>
      <c r="I494" s="231">
        <f t="shared" si="15"/>
        <v>0</v>
      </c>
    </row>
    <row r="495" spans="1:12" s="7" customFormat="1" hidden="1">
      <c r="A495" s="1664"/>
      <c r="B495" s="107"/>
      <c r="C495" s="676"/>
      <c r="D495" s="677"/>
      <c r="E495" s="677"/>
      <c r="F495" s="232"/>
      <c r="G495" s="232"/>
      <c r="H495" s="231">
        <f t="shared" si="14"/>
        <v>0</v>
      </c>
      <c r="I495" s="231">
        <f t="shared" si="15"/>
        <v>0</v>
      </c>
    </row>
    <row r="496" spans="1:12" s="7" customFormat="1" hidden="1">
      <c r="A496" s="1664"/>
      <c r="B496" s="107"/>
      <c r="C496" s="676"/>
      <c r="D496" s="677"/>
      <c r="E496" s="677"/>
      <c r="F496" s="232"/>
      <c r="G496" s="232"/>
      <c r="H496" s="231">
        <f t="shared" si="14"/>
        <v>0</v>
      </c>
      <c r="I496" s="231">
        <f t="shared" si="15"/>
        <v>0</v>
      </c>
    </row>
    <row r="497" spans="1:9" s="7" customFormat="1" hidden="1">
      <c r="A497" s="1664"/>
      <c r="B497" s="107"/>
      <c r="C497" s="676"/>
      <c r="D497" s="677"/>
      <c r="E497" s="677"/>
      <c r="F497" s="232"/>
      <c r="G497" s="232"/>
      <c r="H497" s="231">
        <f t="shared" si="14"/>
        <v>0</v>
      </c>
      <c r="I497" s="231">
        <f t="shared" si="15"/>
        <v>0</v>
      </c>
    </row>
    <row r="498" spans="1:9" s="7" customFormat="1" hidden="1">
      <c r="A498" s="1664"/>
      <c r="B498" s="107"/>
      <c r="C498" s="676"/>
      <c r="D498" s="677"/>
      <c r="E498" s="677"/>
      <c r="F498" s="232"/>
      <c r="G498" s="232"/>
      <c r="H498" s="231">
        <f t="shared" si="14"/>
        <v>0</v>
      </c>
      <c r="I498" s="231">
        <f t="shared" si="15"/>
        <v>0</v>
      </c>
    </row>
    <row r="499" spans="1:9" s="7" customFormat="1" hidden="1">
      <c r="A499" s="1664"/>
      <c r="B499" s="107"/>
      <c r="C499" s="676"/>
      <c r="D499" s="677"/>
      <c r="E499" s="677"/>
      <c r="F499" s="232"/>
      <c r="G499" s="232"/>
      <c r="H499" s="231">
        <f t="shared" si="14"/>
        <v>0</v>
      </c>
      <c r="I499" s="231">
        <f t="shared" si="15"/>
        <v>0</v>
      </c>
    </row>
    <row r="500" spans="1:9" s="7" customFormat="1" hidden="1">
      <c r="A500" s="1664"/>
      <c r="B500" s="107"/>
      <c r="C500" s="676"/>
      <c r="D500" s="677"/>
      <c r="E500" s="677"/>
      <c r="F500" s="232"/>
      <c r="G500" s="232"/>
      <c r="H500" s="231">
        <f t="shared" si="14"/>
        <v>0</v>
      </c>
      <c r="I500" s="231">
        <f t="shared" si="15"/>
        <v>0</v>
      </c>
    </row>
    <row r="501" spans="1:9" s="7" customFormat="1" hidden="1">
      <c r="A501" s="1664"/>
      <c r="B501" s="107"/>
      <c r="C501" s="676"/>
      <c r="D501" s="677"/>
      <c r="E501" s="677"/>
      <c r="F501" s="232"/>
      <c r="G501" s="232"/>
      <c r="H501" s="231">
        <f t="shared" si="14"/>
        <v>0</v>
      </c>
      <c r="I501" s="231">
        <f t="shared" si="15"/>
        <v>0</v>
      </c>
    </row>
    <row r="502" spans="1:9" s="7" customFormat="1" hidden="1">
      <c r="A502" s="1664"/>
      <c r="B502" s="371"/>
      <c r="C502" s="830"/>
      <c r="D502" s="830"/>
      <c r="E502" s="830"/>
      <c r="F502" s="232"/>
      <c r="G502" s="232"/>
      <c r="H502" s="231">
        <f t="shared" si="14"/>
        <v>0</v>
      </c>
      <c r="I502" s="231">
        <f t="shared" si="15"/>
        <v>0</v>
      </c>
    </row>
    <row r="503" spans="1:9" s="7" customFormat="1" hidden="1">
      <c r="A503" s="1664"/>
      <c r="B503" s="371"/>
      <c r="C503" s="830"/>
      <c r="D503" s="830"/>
      <c r="E503" s="830"/>
      <c r="F503" s="232"/>
      <c r="G503" s="232"/>
      <c r="H503" s="231">
        <f t="shared" si="14"/>
        <v>0</v>
      </c>
      <c r="I503" s="231">
        <f t="shared" si="15"/>
        <v>0</v>
      </c>
    </row>
    <row r="504" spans="1:9" s="7" customFormat="1" hidden="1">
      <c r="A504" s="1664"/>
      <c r="B504" s="371"/>
      <c r="C504" s="665"/>
      <c r="D504" s="665"/>
      <c r="E504" s="665"/>
      <c r="F504" s="232"/>
      <c r="G504" s="232"/>
      <c r="H504" s="231">
        <f t="shared" si="14"/>
        <v>0</v>
      </c>
      <c r="I504" s="231">
        <f t="shared" si="15"/>
        <v>0</v>
      </c>
    </row>
    <row r="505" spans="1:9" s="7" customFormat="1" hidden="1">
      <c r="A505" s="1664"/>
      <c r="B505" s="371"/>
      <c r="C505" s="665"/>
      <c r="D505" s="665"/>
      <c r="E505" s="665"/>
      <c r="F505" s="232"/>
      <c r="G505" s="232"/>
      <c r="H505" s="231">
        <f t="shared" si="14"/>
        <v>0</v>
      </c>
      <c r="I505" s="231">
        <f t="shared" si="15"/>
        <v>0</v>
      </c>
    </row>
    <row r="506" spans="1:9" s="7" customFormat="1" hidden="1">
      <c r="A506" s="1664"/>
      <c r="B506" s="371"/>
      <c r="C506" s="844"/>
      <c r="D506" s="844"/>
      <c r="E506" s="844"/>
      <c r="F506" s="232"/>
      <c r="G506" s="232"/>
      <c r="H506" s="231">
        <f t="shared" si="14"/>
        <v>0</v>
      </c>
      <c r="I506" s="231">
        <f t="shared" si="15"/>
        <v>0</v>
      </c>
    </row>
    <row r="507" spans="1:9" s="7" customFormat="1" hidden="1">
      <c r="A507" s="1664"/>
      <c r="B507" s="371"/>
      <c r="C507" s="846"/>
      <c r="D507" s="847"/>
      <c r="E507" s="848"/>
      <c r="F507" s="232"/>
      <c r="G507" s="232"/>
      <c r="H507" s="231">
        <f t="shared" si="14"/>
        <v>0</v>
      </c>
      <c r="I507" s="231">
        <f t="shared" si="15"/>
        <v>0</v>
      </c>
    </row>
    <row r="508" spans="1:9" s="7" customFormat="1" hidden="1">
      <c r="A508" s="1664"/>
      <c r="B508" s="371"/>
      <c r="C508" s="846"/>
      <c r="D508" s="847"/>
      <c r="E508" s="848"/>
      <c r="F508" s="232"/>
      <c r="G508" s="232"/>
      <c r="H508" s="231">
        <f t="shared" si="14"/>
        <v>0</v>
      </c>
      <c r="I508" s="231">
        <f t="shared" si="15"/>
        <v>0</v>
      </c>
    </row>
    <row r="509" spans="1:9" s="7" customFormat="1" hidden="1">
      <c r="A509" s="1664"/>
      <c r="B509" s="371"/>
      <c r="C509" s="846"/>
      <c r="D509" s="846"/>
      <c r="E509" s="846"/>
      <c r="F509" s="232"/>
      <c r="G509" s="232"/>
      <c r="H509" s="231">
        <f t="shared" si="14"/>
        <v>0</v>
      </c>
      <c r="I509" s="231">
        <f t="shared" si="15"/>
        <v>0</v>
      </c>
    </row>
    <row r="510" spans="1:9" s="7" customFormat="1" hidden="1">
      <c r="A510" s="1664"/>
      <c r="B510" s="371"/>
      <c r="C510" s="846"/>
      <c r="D510" s="846"/>
      <c r="E510" s="846"/>
      <c r="F510" s="232"/>
      <c r="G510" s="232"/>
      <c r="H510" s="231">
        <f t="shared" si="14"/>
        <v>0</v>
      </c>
      <c r="I510" s="231">
        <f t="shared" si="15"/>
        <v>0</v>
      </c>
    </row>
    <row r="511" spans="1:9" s="7" customFormat="1" hidden="1">
      <c r="A511" s="1664"/>
      <c r="B511" s="371"/>
      <c r="C511" s="846"/>
      <c r="D511" s="846"/>
      <c r="E511" s="846"/>
      <c r="F511" s="232"/>
      <c r="G511" s="232"/>
      <c r="H511" s="231">
        <f t="shared" si="14"/>
        <v>0</v>
      </c>
      <c r="I511" s="231">
        <f t="shared" si="15"/>
        <v>0</v>
      </c>
    </row>
    <row r="512" spans="1:9" s="7" customFormat="1" hidden="1">
      <c r="A512" s="1664"/>
      <c r="B512" s="371"/>
      <c r="C512" s="846"/>
      <c r="D512" s="846"/>
      <c r="E512" s="846"/>
      <c r="F512" s="232"/>
      <c r="G512" s="232"/>
      <c r="H512" s="231">
        <f t="shared" si="14"/>
        <v>0</v>
      </c>
      <c r="I512" s="231">
        <f t="shared" si="15"/>
        <v>0</v>
      </c>
    </row>
    <row r="513" spans="1:9" s="7" customFormat="1" hidden="1">
      <c r="A513" s="1664"/>
      <c r="B513" s="371"/>
      <c r="C513" s="846"/>
      <c r="D513" s="846"/>
      <c r="E513" s="846"/>
      <c r="F513" s="232"/>
      <c r="G513" s="232"/>
      <c r="H513" s="231">
        <f t="shared" si="14"/>
        <v>0</v>
      </c>
      <c r="I513" s="231">
        <f t="shared" si="15"/>
        <v>0</v>
      </c>
    </row>
    <row r="514" spans="1:9" s="7" customFormat="1" hidden="1">
      <c r="A514" s="1664"/>
      <c r="B514" s="371"/>
      <c r="C514" s="846"/>
      <c r="D514" s="846"/>
      <c r="E514" s="846"/>
      <c r="F514" s="232"/>
      <c r="G514" s="232"/>
      <c r="H514" s="231">
        <f t="shared" si="14"/>
        <v>0</v>
      </c>
      <c r="I514" s="231">
        <f t="shared" si="15"/>
        <v>0</v>
      </c>
    </row>
    <row r="515" spans="1:9" s="7" customFormat="1" hidden="1">
      <c r="A515" s="1664"/>
      <c r="B515" s="371"/>
      <c r="C515" s="846"/>
      <c r="D515" s="846"/>
      <c r="E515" s="846"/>
      <c r="F515" s="232"/>
      <c r="G515" s="232"/>
      <c r="H515" s="231">
        <f t="shared" si="14"/>
        <v>0</v>
      </c>
      <c r="I515" s="231">
        <f t="shared" si="15"/>
        <v>0</v>
      </c>
    </row>
    <row r="516" spans="1:9" s="7" customFormat="1" hidden="1">
      <c r="A516" s="1664"/>
      <c r="B516" s="371"/>
      <c r="C516" s="846"/>
      <c r="D516" s="846"/>
      <c r="E516" s="846"/>
      <c r="F516" s="232"/>
      <c r="G516" s="232"/>
      <c r="H516" s="231">
        <f t="shared" si="14"/>
        <v>0</v>
      </c>
      <c r="I516" s="231">
        <f t="shared" si="15"/>
        <v>0</v>
      </c>
    </row>
    <row r="517" spans="1:9" s="7" customFormat="1" hidden="1">
      <c r="A517" s="1664"/>
      <c r="B517" s="371"/>
      <c r="C517" s="846"/>
      <c r="D517" s="846"/>
      <c r="E517" s="849"/>
      <c r="F517" s="232"/>
      <c r="G517" s="232"/>
      <c r="H517" s="231">
        <f t="shared" si="14"/>
        <v>0</v>
      </c>
      <c r="I517" s="231">
        <f t="shared" si="15"/>
        <v>0</v>
      </c>
    </row>
    <row r="518" spans="1:9" s="7" customFormat="1" hidden="1">
      <c r="A518" s="1664"/>
      <c r="B518" s="371"/>
      <c r="C518" s="846"/>
      <c r="D518" s="846"/>
      <c r="E518" s="849"/>
      <c r="F518" s="232"/>
      <c r="G518" s="232"/>
      <c r="H518" s="231">
        <f t="shared" si="14"/>
        <v>0</v>
      </c>
      <c r="I518" s="231">
        <f t="shared" si="15"/>
        <v>0</v>
      </c>
    </row>
    <row r="519" spans="1:9" s="7" customFormat="1" hidden="1">
      <c r="A519" s="1664"/>
      <c r="B519" s="107"/>
      <c r="C519" s="654"/>
      <c r="D519" s="654"/>
      <c r="E519" s="256"/>
      <c r="F519" s="232"/>
      <c r="G519" s="232"/>
      <c r="H519" s="231">
        <f t="shared" si="14"/>
        <v>0</v>
      </c>
      <c r="I519" s="231">
        <f t="shared" si="15"/>
        <v>0</v>
      </c>
    </row>
    <row r="520" spans="1:9" s="7" customFormat="1" hidden="1">
      <c r="A520" s="1664"/>
      <c r="B520" s="107"/>
      <c r="C520" s="654"/>
      <c r="D520" s="654"/>
      <c r="E520" s="256"/>
      <c r="F520" s="232"/>
      <c r="G520" s="232"/>
      <c r="H520" s="231">
        <f t="shared" si="14"/>
        <v>0</v>
      </c>
      <c r="I520" s="231">
        <f t="shared" si="15"/>
        <v>0</v>
      </c>
    </row>
    <row r="521" spans="1:9" s="7" customFormat="1" hidden="1">
      <c r="A521" s="1664"/>
      <c r="B521" s="107"/>
      <c r="C521" s="654"/>
      <c r="D521" s="654"/>
      <c r="E521" s="256"/>
      <c r="F521" s="232"/>
      <c r="G521" s="232"/>
      <c r="H521" s="231">
        <f t="shared" ref="H521:H584" si="16">E521+D521-C521</f>
        <v>0</v>
      </c>
      <c r="I521" s="231">
        <f t="shared" ref="I521:I584" si="17">SUM(C521:E521)</f>
        <v>0</v>
      </c>
    </row>
    <row r="522" spans="1:9" s="7" customFormat="1" hidden="1">
      <c r="A522" s="1664"/>
      <c r="B522" s="107"/>
      <c r="C522" s="654"/>
      <c r="D522" s="654"/>
      <c r="E522" s="256"/>
      <c r="F522" s="232"/>
      <c r="G522" s="232"/>
      <c r="H522" s="231">
        <f t="shared" si="16"/>
        <v>0</v>
      </c>
      <c r="I522" s="231">
        <f t="shared" si="17"/>
        <v>0</v>
      </c>
    </row>
    <row r="523" spans="1:9" s="7" customFormat="1" hidden="1">
      <c r="A523" s="1664"/>
      <c r="B523" s="107"/>
      <c r="C523" s="654"/>
      <c r="D523" s="654"/>
      <c r="E523" s="256"/>
      <c r="F523" s="232"/>
      <c r="G523" s="232"/>
      <c r="H523" s="231">
        <f t="shared" si="16"/>
        <v>0</v>
      </c>
      <c r="I523" s="231">
        <f t="shared" si="17"/>
        <v>0</v>
      </c>
    </row>
    <row r="524" spans="1:9" s="7" customFormat="1" hidden="1">
      <c r="A524" s="1664"/>
      <c r="B524" s="107"/>
      <c r="C524" s="654"/>
      <c r="D524" s="654"/>
      <c r="E524" s="256"/>
      <c r="F524" s="232"/>
      <c r="G524" s="232"/>
      <c r="H524" s="231">
        <f t="shared" si="16"/>
        <v>0</v>
      </c>
      <c r="I524" s="231">
        <f t="shared" si="17"/>
        <v>0</v>
      </c>
    </row>
    <row r="525" spans="1:9" s="7" customFormat="1" hidden="1">
      <c r="A525" s="1664"/>
      <c r="B525" s="107"/>
      <c r="C525" s="654"/>
      <c r="D525" s="654"/>
      <c r="E525" s="256"/>
      <c r="F525" s="232"/>
      <c r="G525" s="232"/>
      <c r="H525" s="231">
        <f t="shared" si="16"/>
        <v>0</v>
      </c>
      <c r="I525" s="231">
        <f t="shared" si="17"/>
        <v>0</v>
      </c>
    </row>
    <row r="526" spans="1:9" s="7" customFormat="1" hidden="1">
      <c r="A526" s="1664"/>
      <c r="B526" s="107"/>
      <c r="C526" s="654"/>
      <c r="D526" s="654"/>
      <c r="E526" s="256"/>
      <c r="F526" s="232"/>
      <c r="G526" s="232"/>
      <c r="H526" s="231">
        <f t="shared" si="16"/>
        <v>0</v>
      </c>
      <c r="I526" s="231">
        <f t="shared" si="17"/>
        <v>0</v>
      </c>
    </row>
    <row r="527" spans="1:9" s="7" customFormat="1" hidden="1">
      <c r="A527" s="1664"/>
      <c r="B527" s="107"/>
      <c r="C527" s="654"/>
      <c r="D527" s="654"/>
      <c r="E527" s="256"/>
      <c r="F527" s="232"/>
      <c r="G527" s="232"/>
      <c r="H527" s="231">
        <f t="shared" si="16"/>
        <v>0</v>
      </c>
      <c r="I527" s="231">
        <f t="shared" si="17"/>
        <v>0</v>
      </c>
    </row>
    <row r="528" spans="1:9" s="7" customFormat="1" hidden="1">
      <c r="A528" s="1664"/>
      <c r="B528" s="107"/>
      <c r="C528" s="654"/>
      <c r="D528" s="654"/>
      <c r="E528" s="256"/>
      <c r="F528" s="232"/>
      <c r="G528" s="232"/>
      <c r="H528" s="231">
        <f t="shared" si="16"/>
        <v>0</v>
      </c>
      <c r="I528" s="231">
        <f t="shared" si="17"/>
        <v>0</v>
      </c>
    </row>
    <row r="529" spans="1:9" s="7" customFormat="1" hidden="1">
      <c r="A529" s="1664"/>
      <c r="B529" s="107"/>
      <c r="C529" s="654"/>
      <c r="D529" s="654"/>
      <c r="E529" s="256"/>
      <c r="F529" s="232"/>
      <c r="G529" s="232"/>
      <c r="H529" s="231">
        <f t="shared" si="16"/>
        <v>0</v>
      </c>
      <c r="I529" s="231">
        <f t="shared" si="17"/>
        <v>0</v>
      </c>
    </row>
    <row r="530" spans="1:9" s="7" customFormat="1" hidden="1">
      <c r="A530" s="1664"/>
      <c r="B530" s="107"/>
      <c r="C530" s="654"/>
      <c r="D530" s="654"/>
      <c r="E530" s="256"/>
      <c r="F530" s="232"/>
      <c r="G530" s="232"/>
      <c r="H530" s="231">
        <f t="shared" si="16"/>
        <v>0</v>
      </c>
      <c r="I530" s="231">
        <f t="shared" si="17"/>
        <v>0</v>
      </c>
    </row>
    <row r="531" spans="1:9" s="7" customFormat="1" hidden="1">
      <c r="A531" s="1664"/>
      <c r="B531" s="107"/>
      <c r="C531" s="654"/>
      <c r="D531" s="654"/>
      <c r="E531" s="256"/>
      <c r="F531" s="232"/>
      <c r="G531" s="232"/>
      <c r="H531" s="231">
        <f t="shared" si="16"/>
        <v>0</v>
      </c>
      <c r="I531" s="231">
        <f t="shared" si="17"/>
        <v>0</v>
      </c>
    </row>
    <row r="532" spans="1:9" s="7" customFormat="1" hidden="1">
      <c r="A532" s="1664"/>
      <c r="B532" s="107"/>
      <c r="C532" s="654"/>
      <c r="D532" s="654"/>
      <c r="E532" s="256"/>
      <c r="F532" s="232"/>
      <c r="G532" s="232"/>
      <c r="H532" s="231">
        <f t="shared" si="16"/>
        <v>0</v>
      </c>
      <c r="I532" s="231">
        <f t="shared" si="17"/>
        <v>0</v>
      </c>
    </row>
    <row r="533" spans="1:9" s="7" customFormat="1" hidden="1">
      <c r="A533" s="1664"/>
      <c r="B533" s="107"/>
      <c r="C533" s="654"/>
      <c r="D533" s="654"/>
      <c r="E533" s="256"/>
      <c r="F533" s="232"/>
      <c r="G533" s="232"/>
      <c r="H533" s="231">
        <f t="shared" si="16"/>
        <v>0</v>
      </c>
      <c r="I533" s="231">
        <f t="shared" si="17"/>
        <v>0</v>
      </c>
    </row>
    <row r="534" spans="1:9" s="7" customFormat="1" hidden="1">
      <c r="A534" s="1664"/>
      <c r="B534" s="107"/>
      <c r="C534" s="654"/>
      <c r="D534" s="654"/>
      <c r="E534" s="256"/>
      <c r="F534" s="232"/>
      <c r="G534" s="232"/>
      <c r="H534" s="231">
        <f t="shared" si="16"/>
        <v>0</v>
      </c>
      <c r="I534" s="231">
        <f t="shared" si="17"/>
        <v>0</v>
      </c>
    </row>
    <row r="535" spans="1:9" s="7" customFormat="1" hidden="1">
      <c r="A535" s="1664"/>
      <c r="B535" s="107"/>
      <c r="C535" s="654"/>
      <c r="D535" s="654"/>
      <c r="E535" s="256"/>
      <c r="F535" s="232"/>
      <c r="G535" s="232"/>
      <c r="H535" s="231">
        <f t="shared" si="16"/>
        <v>0</v>
      </c>
      <c r="I535" s="231">
        <f t="shared" si="17"/>
        <v>0</v>
      </c>
    </row>
    <row r="536" spans="1:9" s="7" customFormat="1" hidden="1">
      <c r="A536" s="1664"/>
      <c r="B536" s="107"/>
      <c r="C536" s="654"/>
      <c r="D536" s="654"/>
      <c r="E536" s="256"/>
      <c r="F536" s="232"/>
      <c r="G536" s="232"/>
      <c r="H536" s="231">
        <f t="shared" si="16"/>
        <v>0</v>
      </c>
      <c r="I536" s="231">
        <f t="shared" si="17"/>
        <v>0</v>
      </c>
    </row>
    <row r="537" spans="1:9" s="7" customFormat="1" hidden="1">
      <c r="A537" s="1664"/>
      <c r="B537" s="251"/>
      <c r="C537" s="654"/>
      <c r="D537" s="654"/>
      <c r="E537" s="256"/>
      <c r="F537" s="232"/>
      <c r="G537" s="232"/>
      <c r="H537" s="231">
        <f t="shared" si="16"/>
        <v>0</v>
      </c>
      <c r="I537" s="231">
        <f t="shared" si="17"/>
        <v>0</v>
      </c>
    </row>
    <row r="538" spans="1:9" s="7" customFormat="1" hidden="1">
      <c r="A538" s="1664"/>
      <c r="B538" s="252"/>
      <c r="C538" s="256"/>
      <c r="D538" s="256"/>
      <c r="E538" s="256"/>
      <c r="F538" s="232"/>
      <c r="G538" s="232"/>
      <c r="H538" s="231">
        <f t="shared" si="16"/>
        <v>0</v>
      </c>
      <c r="I538" s="231">
        <f t="shared" si="17"/>
        <v>0</v>
      </c>
    </row>
    <row r="539" spans="1:9" s="7" customFormat="1" hidden="1">
      <c r="A539" s="1664"/>
      <c r="B539" s="224"/>
      <c r="C539" s="256"/>
      <c r="D539" s="256"/>
      <c r="E539" s="256"/>
      <c r="F539" s="232"/>
      <c r="G539" s="232"/>
      <c r="H539" s="231">
        <f t="shared" si="16"/>
        <v>0</v>
      </c>
      <c r="I539" s="231">
        <f t="shared" si="17"/>
        <v>0</v>
      </c>
    </row>
    <row r="540" spans="1:9" s="7" customFormat="1" hidden="1">
      <c r="A540" s="1664"/>
      <c r="B540" s="182"/>
      <c r="C540" s="679"/>
      <c r="D540" s="679"/>
      <c r="E540" s="680"/>
      <c r="F540" s="232"/>
      <c r="G540" s="232"/>
      <c r="H540" s="231">
        <f t="shared" si="16"/>
        <v>0</v>
      </c>
      <c r="I540" s="231">
        <f t="shared" si="17"/>
        <v>0</v>
      </c>
    </row>
    <row r="541" spans="1:9" s="7" customFormat="1" hidden="1">
      <c r="A541" s="1664"/>
      <c r="B541" s="107"/>
      <c r="C541" s="654"/>
      <c r="D541" s="654"/>
      <c r="E541" s="256"/>
      <c r="F541" s="232"/>
      <c r="G541" s="232"/>
      <c r="H541" s="231">
        <f t="shared" si="16"/>
        <v>0</v>
      </c>
      <c r="I541" s="231">
        <f t="shared" si="17"/>
        <v>0</v>
      </c>
    </row>
    <row r="542" spans="1:9" s="7" customFormat="1" hidden="1">
      <c r="A542" s="1664"/>
      <c r="B542" s="107"/>
      <c r="C542" s="654"/>
      <c r="D542" s="654"/>
      <c r="E542" s="256"/>
      <c r="F542" s="232"/>
      <c r="G542" s="232"/>
      <c r="H542" s="231">
        <f t="shared" si="16"/>
        <v>0</v>
      </c>
      <c r="I542" s="231">
        <f t="shared" si="17"/>
        <v>0</v>
      </c>
    </row>
    <row r="543" spans="1:9" s="7" customFormat="1" hidden="1">
      <c r="A543" s="1664"/>
      <c r="B543" s="107"/>
      <c r="C543" s="654"/>
      <c r="D543" s="654"/>
      <c r="E543" s="256"/>
      <c r="F543" s="232"/>
      <c r="G543" s="232"/>
      <c r="H543" s="231">
        <f t="shared" si="16"/>
        <v>0</v>
      </c>
      <c r="I543" s="231">
        <f t="shared" si="17"/>
        <v>0</v>
      </c>
    </row>
    <row r="544" spans="1:9" s="7" customFormat="1" hidden="1">
      <c r="A544" s="1664"/>
      <c r="B544" s="107"/>
      <c r="C544" s="256"/>
      <c r="D544" s="256"/>
      <c r="E544" s="256"/>
      <c r="F544" s="232"/>
      <c r="G544" s="232"/>
      <c r="H544" s="231">
        <f t="shared" si="16"/>
        <v>0</v>
      </c>
      <c r="I544" s="231">
        <f t="shared" si="17"/>
        <v>0</v>
      </c>
    </row>
    <row r="545" spans="1:9" s="7" customFormat="1" hidden="1">
      <c r="A545" s="1664"/>
      <c r="B545" s="107"/>
      <c r="C545" s="654"/>
      <c r="D545" s="654"/>
      <c r="E545" s="256"/>
      <c r="F545" s="232"/>
      <c r="G545" s="232"/>
      <c r="H545" s="231">
        <f t="shared" si="16"/>
        <v>0</v>
      </c>
      <c r="I545" s="231">
        <f t="shared" si="17"/>
        <v>0</v>
      </c>
    </row>
    <row r="546" spans="1:9" s="7" customFormat="1" hidden="1">
      <c r="A546" s="1664"/>
      <c r="B546" s="107"/>
      <c r="C546" s="654"/>
      <c r="D546" s="654"/>
      <c r="E546" s="256"/>
      <c r="F546" s="232"/>
      <c r="G546" s="232"/>
      <c r="H546" s="231">
        <f t="shared" si="16"/>
        <v>0</v>
      </c>
      <c r="I546" s="231">
        <f t="shared" si="17"/>
        <v>0</v>
      </c>
    </row>
    <row r="547" spans="1:9" s="7" customFormat="1" hidden="1">
      <c r="A547" s="1664"/>
      <c r="B547" s="107"/>
      <c r="C547" s="255"/>
      <c r="D547" s="255"/>
      <c r="E547" s="681"/>
      <c r="F547" s="232"/>
      <c r="G547" s="232"/>
      <c r="H547" s="231">
        <f t="shared" si="16"/>
        <v>0</v>
      </c>
      <c r="I547" s="231">
        <f t="shared" si="17"/>
        <v>0</v>
      </c>
    </row>
    <row r="548" spans="1:9" s="7" customFormat="1" hidden="1">
      <c r="A548" s="1664"/>
      <c r="B548" s="107"/>
      <c r="C548" s="654"/>
      <c r="D548" s="654"/>
      <c r="E548" s="256"/>
      <c r="F548" s="232"/>
      <c r="G548" s="232"/>
      <c r="H548" s="231">
        <f t="shared" si="16"/>
        <v>0</v>
      </c>
      <c r="I548" s="231">
        <f t="shared" si="17"/>
        <v>0</v>
      </c>
    </row>
    <row r="549" spans="1:9" s="7" customFormat="1" hidden="1">
      <c r="A549" s="1664"/>
      <c r="B549" s="107"/>
      <c r="C549" s="654"/>
      <c r="D549" s="654"/>
      <c r="E549" s="256"/>
      <c r="F549" s="232"/>
      <c r="G549" s="232"/>
      <c r="H549" s="231">
        <f t="shared" si="16"/>
        <v>0</v>
      </c>
      <c r="I549" s="231">
        <f t="shared" si="17"/>
        <v>0</v>
      </c>
    </row>
    <row r="550" spans="1:9" s="7" customFormat="1" hidden="1">
      <c r="A550" s="1664"/>
      <c r="B550" s="107"/>
      <c r="C550" s="654"/>
      <c r="D550" s="654"/>
      <c r="E550" s="256"/>
      <c r="F550" s="232"/>
      <c r="G550" s="232"/>
      <c r="H550" s="231">
        <f t="shared" si="16"/>
        <v>0</v>
      </c>
      <c r="I550" s="231">
        <f t="shared" si="17"/>
        <v>0</v>
      </c>
    </row>
    <row r="551" spans="1:9" s="7" customFormat="1" ht="18" hidden="1" customHeight="1">
      <c r="A551" s="1664"/>
      <c r="B551" s="107"/>
      <c r="C551" s="654"/>
      <c r="D551" s="654"/>
      <c r="E551" s="256"/>
      <c r="F551" s="232"/>
      <c r="G551" s="232"/>
      <c r="H551" s="231">
        <f t="shared" si="16"/>
        <v>0</v>
      </c>
      <c r="I551" s="231">
        <f t="shared" si="17"/>
        <v>0</v>
      </c>
    </row>
    <row r="552" spans="1:9" s="7" customFormat="1" ht="18" hidden="1" customHeight="1">
      <c r="A552" s="1665"/>
      <c r="B552" s="272"/>
      <c r="C552" s="682"/>
      <c r="D552" s="682"/>
      <c r="E552" s="683"/>
      <c r="F552" s="232"/>
      <c r="G552" s="232"/>
      <c r="H552" s="231">
        <f t="shared" si="16"/>
        <v>0</v>
      </c>
      <c r="I552" s="231">
        <f t="shared" si="17"/>
        <v>0</v>
      </c>
    </row>
    <row r="553" spans="1:9" s="7" customFormat="1" ht="18" hidden="1" customHeight="1">
      <c r="A553" s="1665"/>
      <c r="B553" s="181"/>
      <c r="C553" s="654"/>
      <c r="D553" s="654"/>
      <c r="E553" s="655"/>
      <c r="F553" s="232"/>
      <c r="G553" s="232"/>
      <c r="H553" s="231">
        <f t="shared" si="16"/>
        <v>0</v>
      </c>
      <c r="I553" s="231">
        <f t="shared" si="17"/>
        <v>0</v>
      </c>
    </row>
    <row r="554" spans="1:9" s="7" customFormat="1" ht="18" hidden="1" customHeight="1">
      <c r="A554" s="1665"/>
      <c r="B554" s="181"/>
      <c r="C554" s="654"/>
      <c r="D554" s="654"/>
      <c r="E554" s="655"/>
      <c r="F554" s="232"/>
      <c r="G554" s="232"/>
      <c r="H554" s="231">
        <f t="shared" si="16"/>
        <v>0</v>
      </c>
      <c r="I554" s="231">
        <f t="shared" si="17"/>
        <v>0</v>
      </c>
    </row>
    <row r="555" spans="1:9" s="7" customFormat="1" ht="18" hidden="1" customHeight="1">
      <c r="A555" s="1665"/>
      <c r="B555" s="181"/>
      <c r="C555" s="654"/>
      <c r="D555" s="654"/>
      <c r="E555" s="655"/>
      <c r="F555" s="232"/>
      <c r="G555" s="232"/>
      <c r="H555" s="231">
        <f t="shared" si="16"/>
        <v>0</v>
      </c>
      <c r="I555" s="231">
        <f t="shared" si="17"/>
        <v>0</v>
      </c>
    </row>
    <row r="556" spans="1:9" s="7" customFormat="1" ht="18" hidden="1" customHeight="1">
      <c r="A556" s="1665"/>
      <c r="B556" s="181"/>
      <c r="C556" s="654"/>
      <c r="D556" s="654"/>
      <c r="E556" s="655"/>
      <c r="F556" s="232"/>
      <c r="G556" s="232"/>
      <c r="H556" s="231">
        <f t="shared" si="16"/>
        <v>0</v>
      </c>
      <c r="I556" s="231">
        <f t="shared" si="17"/>
        <v>0</v>
      </c>
    </row>
    <row r="557" spans="1:9" s="7" customFormat="1" ht="18" hidden="1" customHeight="1">
      <c r="A557" s="1665"/>
      <c r="B557" s="181"/>
      <c r="C557" s="654"/>
      <c r="D557" s="654"/>
      <c r="E557" s="655"/>
      <c r="F557" s="232"/>
      <c r="G557" s="232"/>
      <c r="H557" s="231">
        <f t="shared" si="16"/>
        <v>0</v>
      </c>
      <c r="I557" s="231">
        <f t="shared" si="17"/>
        <v>0</v>
      </c>
    </row>
    <row r="558" spans="1:9" s="7" customFormat="1" ht="18" hidden="1" customHeight="1">
      <c r="A558" s="1665"/>
      <c r="B558" s="107"/>
      <c r="C558" s="654"/>
      <c r="D558" s="654"/>
      <c r="E558" s="654"/>
      <c r="F558" s="232"/>
      <c r="G558" s="232"/>
      <c r="H558" s="231">
        <f t="shared" si="16"/>
        <v>0</v>
      </c>
      <c r="I558" s="231">
        <f t="shared" si="17"/>
        <v>0</v>
      </c>
    </row>
    <row r="559" spans="1:9" s="7" customFormat="1" ht="18" hidden="1" customHeight="1">
      <c r="A559" s="1665"/>
      <c r="B559" s="107"/>
      <c r="C559" s="255"/>
      <c r="D559" s="255"/>
      <c r="E559" s="255"/>
      <c r="F559" s="232"/>
      <c r="G559" s="232"/>
      <c r="H559" s="231">
        <f t="shared" si="16"/>
        <v>0</v>
      </c>
      <c r="I559" s="231">
        <f t="shared" si="17"/>
        <v>0</v>
      </c>
    </row>
    <row r="560" spans="1:9" s="7" customFormat="1" ht="18" hidden="1" customHeight="1">
      <c r="A560" s="1665"/>
      <c r="B560" s="107"/>
      <c r="C560" s="255"/>
      <c r="D560" s="255"/>
      <c r="E560" s="255"/>
      <c r="F560" s="232"/>
      <c r="G560" s="232"/>
      <c r="H560" s="231">
        <f t="shared" si="16"/>
        <v>0</v>
      </c>
      <c r="I560" s="231">
        <f t="shared" si="17"/>
        <v>0</v>
      </c>
    </row>
    <row r="561" spans="1:12" s="7" customFormat="1" ht="18" hidden="1" customHeight="1">
      <c r="A561" s="1665"/>
      <c r="B561" s="268"/>
      <c r="C561" s="684"/>
      <c r="D561" s="684"/>
      <c r="E561" s="684"/>
      <c r="F561" s="232"/>
      <c r="G561" s="232"/>
      <c r="H561" s="231">
        <f t="shared" si="16"/>
        <v>0</v>
      </c>
      <c r="I561" s="231">
        <f t="shared" si="17"/>
        <v>0</v>
      </c>
    </row>
    <row r="562" spans="1:12">
      <c r="A562" s="1663"/>
      <c r="B562" s="209" t="s">
        <v>985</v>
      </c>
      <c r="C562" s="581">
        <f>SUM(C475:C561)</f>
        <v>1020505</v>
      </c>
      <c r="D562" s="581">
        <f>SUM(D475:D561)</f>
        <v>799893</v>
      </c>
      <c r="E562" s="581">
        <f>SUM(E475:E561)</f>
        <v>220612</v>
      </c>
      <c r="F562" s="262"/>
      <c r="G562" s="235"/>
      <c r="H562" s="1497">
        <f t="shared" si="16"/>
        <v>0</v>
      </c>
      <c r="I562" s="1497">
        <f t="shared" si="17"/>
        <v>2041010</v>
      </c>
      <c r="J562" s="1440"/>
      <c r="K562" s="1490"/>
      <c r="L562" s="1490"/>
    </row>
    <row r="563" spans="1:12" s="7" customFormat="1" ht="75">
      <c r="A563" s="1558" t="s">
        <v>1143</v>
      </c>
      <c r="B563" s="181" t="s">
        <v>772</v>
      </c>
      <c r="C563" s="589">
        <v>45300</v>
      </c>
      <c r="D563" s="589">
        <v>45300</v>
      </c>
      <c r="E563" s="510"/>
      <c r="F563" s="237"/>
      <c r="G563" s="237"/>
      <c r="H563" s="1497">
        <f t="shared" si="16"/>
        <v>0</v>
      </c>
      <c r="I563" s="1497">
        <f t="shared" si="17"/>
        <v>90600</v>
      </c>
      <c r="J563" s="1435"/>
      <c r="K563" s="1491"/>
      <c r="L563" s="1491"/>
    </row>
    <row r="564" spans="1:12" s="7" customFormat="1" ht="37.5">
      <c r="A564" s="1554"/>
      <c r="B564" s="107" t="s">
        <v>1273</v>
      </c>
      <c r="C564" s="589">
        <v>280419</v>
      </c>
      <c r="D564" s="589">
        <v>280419</v>
      </c>
      <c r="E564" s="510"/>
      <c r="F564" s="232"/>
      <c r="G564" s="232"/>
      <c r="H564" s="1497">
        <f t="shared" si="16"/>
        <v>0</v>
      </c>
      <c r="I564" s="1497">
        <f t="shared" si="17"/>
        <v>560838</v>
      </c>
      <c r="J564" s="1435"/>
      <c r="K564" s="1491"/>
      <c r="L564" s="1491"/>
    </row>
    <row r="565" spans="1:12" s="7" customFormat="1" ht="56.25">
      <c r="A565" s="1554"/>
      <c r="B565" s="107" t="s">
        <v>2131</v>
      </c>
      <c r="C565" s="256">
        <v>2200</v>
      </c>
      <c r="D565" s="256">
        <v>2200</v>
      </c>
      <c r="E565" s="256"/>
      <c r="F565" s="232"/>
      <c r="G565" s="232"/>
      <c r="H565" s="1497">
        <f t="shared" si="16"/>
        <v>0</v>
      </c>
      <c r="I565" s="1497">
        <f t="shared" si="17"/>
        <v>4400</v>
      </c>
      <c r="J565" s="1435"/>
      <c r="K565" s="1491"/>
      <c r="L565" s="1491"/>
    </row>
    <row r="566" spans="1:12" s="7" customFormat="1" ht="75">
      <c r="A566" s="1554"/>
      <c r="B566" s="107" t="s">
        <v>2132</v>
      </c>
      <c r="C566" s="256">
        <v>23000</v>
      </c>
      <c r="D566" s="256">
        <v>23000</v>
      </c>
      <c r="E566" s="256"/>
      <c r="F566" s="232"/>
      <c r="G566" s="232"/>
      <c r="H566" s="1497">
        <f t="shared" si="16"/>
        <v>0</v>
      </c>
      <c r="I566" s="1497">
        <f t="shared" si="17"/>
        <v>46000</v>
      </c>
      <c r="J566" s="1435"/>
      <c r="K566" s="1491"/>
      <c r="L566" s="1491"/>
    </row>
    <row r="567" spans="1:12" s="7" customFormat="1" ht="56.25">
      <c r="A567" s="1554"/>
      <c r="B567" s="107" t="s">
        <v>2133</v>
      </c>
      <c r="C567" s="649">
        <v>15000</v>
      </c>
      <c r="D567" s="649">
        <v>15000</v>
      </c>
      <c r="E567" s="256"/>
      <c r="F567" s="232"/>
      <c r="G567" s="232"/>
      <c r="H567" s="1497">
        <f t="shared" si="16"/>
        <v>0</v>
      </c>
      <c r="I567" s="1497">
        <f t="shared" si="17"/>
        <v>30000</v>
      </c>
      <c r="J567" s="1435"/>
      <c r="K567" s="1491"/>
      <c r="L567" s="1491"/>
    </row>
    <row r="568" spans="1:12" s="7" customFormat="1" hidden="1">
      <c r="A568" s="1554"/>
      <c r="B568" s="371"/>
      <c r="C568" s="830"/>
      <c r="D568" s="830"/>
      <c r="E568" s="830"/>
      <c r="F568" s="232"/>
      <c r="G568" s="232"/>
      <c r="H568" s="231">
        <f t="shared" si="16"/>
        <v>0</v>
      </c>
      <c r="I568" s="231">
        <f t="shared" si="17"/>
        <v>0</v>
      </c>
    </row>
    <row r="569" spans="1:12" s="7" customFormat="1" hidden="1">
      <c r="A569" s="1554"/>
      <c r="B569" s="107"/>
      <c r="C569" s="654"/>
      <c r="D569" s="654"/>
      <c r="E569" s="654"/>
      <c r="F569" s="232"/>
      <c r="G569" s="232"/>
      <c r="H569" s="231">
        <f t="shared" si="16"/>
        <v>0</v>
      </c>
      <c r="I569" s="231">
        <f t="shared" si="17"/>
        <v>0</v>
      </c>
    </row>
    <row r="570" spans="1:12" s="7" customFormat="1" hidden="1">
      <c r="A570" s="1554"/>
      <c r="B570" s="107"/>
      <c r="C570" s="654"/>
      <c r="D570" s="654"/>
      <c r="E570" s="654"/>
      <c r="F570" s="232"/>
      <c r="G570" s="232"/>
      <c r="H570" s="231">
        <f t="shared" si="16"/>
        <v>0</v>
      </c>
      <c r="I570" s="231">
        <f t="shared" si="17"/>
        <v>0</v>
      </c>
    </row>
    <row r="571" spans="1:12" s="7" customFormat="1" hidden="1">
      <c r="A571" s="1554"/>
      <c r="B571" s="107"/>
      <c r="C571" s="654"/>
      <c r="D571" s="654"/>
      <c r="E571" s="654"/>
      <c r="F571" s="232"/>
      <c r="G571" s="232"/>
      <c r="H571" s="231">
        <f t="shared" si="16"/>
        <v>0</v>
      </c>
      <c r="I571" s="231">
        <f t="shared" si="17"/>
        <v>0</v>
      </c>
    </row>
    <row r="572" spans="1:12" s="7" customFormat="1" hidden="1">
      <c r="A572" s="1554"/>
      <c r="B572" s="107"/>
      <c r="C572" s="654"/>
      <c r="D572" s="654"/>
      <c r="E572" s="654"/>
      <c r="F572" s="232"/>
      <c r="G572" s="232"/>
      <c r="H572" s="231">
        <f t="shared" si="16"/>
        <v>0</v>
      </c>
      <c r="I572" s="231">
        <f t="shared" si="17"/>
        <v>0</v>
      </c>
    </row>
    <row r="573" spans="1:12" s="7" customFormat="1" hidden="1">
      <c r="A573" s="1554"/>
      <c r="B573" s="107"/>
      <c r="C573" s="654"/>
      <c r="D573" s="654"/>
      <c r="E573" s="654"/>
      <c r="F573" s="232"/>
      <c r="G573" s="232"/>
      <c r="H573" s="231">
        <f t="shared" si="16"/>
        <v>0</v>
      </c>
      <c r="I573" s="231">
        <f t="shared" si="17"/>
        <v>0</v>
      </c>
    </row>
    <row r="574" spans="1:12" s="7" customFormat="1" hidden="1">
      <c r="A574" s="1554"/>
      <c r="B574" s="107"/>
      <c r="C574" s="654"/>
      <c r="D574" s="654"/>
      <c r="E574" s="654"/>
      <c r="F574" s="232"/>
      <c r="G574" s="232"/>
      <c r="H574" s="231">
        <f t="shared" si="16"/>
        <v>0</v>
      </c>
      <c r="I574" s="231">
        <f t="shared" si="17"/>
        <v>0</v>
      </c>
    </row>
    <row r="575" spans="1:12" s="7" customFormat="1" hidden="1">
      <c r="A575" s="1554"/>
      <c r="B575" s="107"/>
      <c r="C575" s="654"/>
      <c r="D575" s="654"/>
      <c r="E575" s="654"/>
      <c r="F575" s="232"/>
      <c r="G575" s="232"/>
      <c r="H575" s="231">
        <f t="shared" si="16"/>
        <v>0</v>
      </c>
      <c r="I575" s="231">
        <f t="shared" si="17"/>
        <v>0</v>
      </c>
    </row>
    <row r="576" spans="1:12" s="7" customFormat="1" hidden="1">
      <c r="A576" s="1554"/>
      <c r="B576" s="107"/>
      <c r="C576" s="654"/>
      <c r="D576" s="654"/>
      <c r="E576" s="654"/>
      <c r="F576" s="232"/>
      <c r="G576" s="232"/>
      <c r="H576" s="231">
        <f t="shared" si="16"/>
        <v>0</v>
      </c>
      <c r="I576" s="231">
        <f t="shared" si="17"/>
        <v>0</v>
      </c>
    </row>
    <row r="577" spans="1:9" s="7" customFormat="1" hidden="1">
      <c r="A577" s="1554"/>
      <c r="B577" s="107"/>
      <c r="C577" s="654"/>
      <c r="D577" s="654"/>
      <c r="E577" s="654"/>
      <c r="F577" s="232"/>
      <c r="G577" s="232"/>
      <c r="H577" s="231">
        <f t="shared" si="16"/>
        <v>0</v>
      </c>
      <c r="I577" s="231">
        <f t="shared" si="17"/>
        <v>0</v>
      </c>
    </row>
    <row r="578" spans="1:9" s="7" customFormat="1" hidden="1">
      <c r="A578" s="1554"/>
      <c r="B578" s="107"/>
      <c r="C578" s="255"/>
      <c r="D578" s="255"/>
      <c r="E578" s="255"/>
      <c r="F578" s="232"/>
      <c r="G578" s="232"/>
      <c r="H578" s="231">
        <f t="shared" si="16"/>
        <v>0</v>
      </c>
      <c r="I578" s="231">
        <f t="shared" si="17"/>
        <v>0</v>
      </c>
    </row>
    <row r="579" spans="1:9" s="7" customFormat="1" hidden="1">
      <c r="A579" s="1554"/>
      <c r="B579" s="107"/>
      <c r="C579" s="255"/>
      <c r="D579" s="255"/>
      <c r="E579" s="255"/>
      <c r="F579" s="232"/>
      <c r="G579" s="232"/>
      <c r="H579" s="231">
        <f t="shared" si="16"/>
        <v>0</v>
      </c>
      <c r="I579" s="231">
        <f t="shared" si="17"/>
        <v>0</v>
      </c>
    </row>
    <row r="580" spans="1:9" s="7" customFormat="1" hidden="1">
      <c r="A580" s="1554"/>
      <c r="B580" s="107"/>
      <c r="C580" s="654"/>
      <c r="D580" s="654"/>
      <c r="E580" s="654"/>
      <c r="F580" s="232"/>
      <c r="G580" s="232"/>
      <c r="H580" s="231">
        <f t="shared" si="16"/>
        <v>0</v>
      </c>
      <c r="I580" s="231">
        <f t="shared" si="17"/>
        <v>0</v>
      </c>
    </row>
    <row r="581" spans="1:9" s="7" customFormat="1" hidden="1">
      <c r="A581" s="1554"/>
      <c r="B581" s="107"/>
      <c r="C581" s="654"/>
      <c r="D581" s="654"/>
      <c r="E581" s="654"/>
      <c r="F581" s="232"/>
      <c r="G581" s="232"/>
      <c r="H581" s="231">
        <f t="shared" si="16"/>
        <v>0</v>
      </c>
      <c r="I581" s="231">
        <f t="shared" si="17"/>
        <v>0</v>
      </c>
    </row>
    <row r="582" spans="1:9" s="7" customFormat="1" hidden="1">
      <c r="A582" s="1554"/>
      <c r="B582" s="107"/>
      <c r="C582" s="654"/>
      <c r="D582" s="654"/>
      <c r="E582" s="654"/>
      <c r="F582" s="232"/>
      <c r="G582" s="232"/>
      <c r="H582" s="231">
        <f t="shared" si="16"/>
        <v>0</v>
      </c>
      <c r="I582" s="231">
        <f t="shared" si="17"/>
        <v>0</v>
      </c>
    </row>
    <row r="583" spans="1:9" s="7" customFormat="1" hidden="1">
      <c r="A583" s="1554"/>
      <c r="B583" s="107"/>
      <c r="C583" s="654"/>
      <c r="D583" s="654"/>
      <c r="E583" s="255"/>
      <c r="F583" s="232"/>
      <c r="G583" s="232"/>
      <c r="H583" s="231">
        <f t="shared" si="16"/>
        <v>0</v>
      </c>
      <c r="I583" s="231">
        <f t="shared" si="17"/>
        <v>0</v>
      </c>
    </row>
    <row r="584" spans="1:9" s="7" customFormat="1" hidden="1">
      <c r="A584" s="1554"/>
      <c r="B584" s="107"/>
      <c r="C584" s="654"/>
      <c r="D584" s="654"/>
      <c r="E584" s="256"/>
      <c r="F584" s="232"/>
      <c r="G584" s="232"/>
      <c r="H584" s="231">
        <f t="shared" si="16"/>
        <v>0</v>
      </c>
      <c r="I584" s="231">
        <f t="shared" si="17"/>
        <v>0</v>
      </c>
    </row>
    <row r="585" spans="1:9" s="7" customFormat="1" hidden="1">
      <c r="A585" s="1554"/>
      <c r="B585" s="107"/>
      <c r="C585" s="654"/>
      <c r="D585" s="654"/>
      <c r="E585" s="256"/>
      <c r="F585" s="232"/>
      <c r="G585" s="232"/>
      <c r="H585" s="231">
        <f t="shared" ref="H585:H648" si="18">E585+D585-C585</f>
        <v>0</v>
      </c>
      <c r="I585" s="231">
        <f t="shared" ref="I585:I648" si="19">SUM(C585:E585)</f>
        <v>0</v>
      </c>
    </row>
    <row r="586" spans="1:9" s="7" customFormat="1" hidden="1">
      <c r="A586" s="1554"/>
      <c r="B586" s="107"/>
      <c r="C586" s="654"/>
      <c r="D586" s="654"/>
      <c r="E586" s="256"/>
      <c r="F586" s="232"/>
      <c r="G586" s="232"/>
      <c r="H586" s="231">
        <f t="shared" si="18"/>
        <v>0</v>
      </c>
      <c r="I586" s="231">
        <f t="shared" si="19"/>
        <v>0</v>
      </c>
    </row>
    <row r="587" spans="1:9" s="7" customFormat="1" hidden="1">
      <c r="A587" s="1554"/>
      <c r="B587" s="107"/>
      <c r="C587" s="654"/>
      <c r="D587" s="654"/>
      <c r="E587" s="256"/>
      <c r="F587" s="232"/>
      <c r="G587" s="232"/>
      <c r="H587" s="231">
        <f t="shared" si="18"/>
        <v>0</v>
      </c>
      <c r="I587" s="231">
        <f t="shared" si="19"/>
        <v>0</v>
      </c>
    </row>
    <row r="588" spans="1:9" s="7" customFormat="1" hidden="1">
      <c r="A588" s="1554"/>
      <c r="B588" s="107"/>
      <c r="C588" s="654"/>
      <c r="D588" s="654"/>
      <c r="E588" s="256"/>
      <c r="F588" s="232"/>
      <c r="G588" s="232"/>
      <c r="H588" s="231">
        <f t="shared" si="18"/>
        <v>0</v>
      </c>
      <c r="I588" s="231">
        <f t="shared" si="19"/>
        <v>0</v>
      </c>
    </row>
    <row r="589" spans="1:9" s="7" customFormat="1" hidden="1">
      <c r="A589" s="1554"/>
      <c r="B589" s="107"/>
      <c r="C589" s="654"/>
      <c r="D589" s="654"/>
      <c r="E589" s="256"/>
      <c r="F589" s="232"/>
      <c r="G589" s="232"/>
      <c r="H589" s="231">
        <f t="shared" si="18"/>
        <v>0</v>
      </c>
      <c r="I589" s="231">
        <f t="shared" si="19"/>
        <v>0</v>
      </c>
    </row>
    <row r="590" spans="1:9" s="7" customFormat="1" hidden="1">
      <c r="A590" s="1554"/>
      <c r="B590" s="107"/>
      <c r="C590" s="654"/>
      <c r="D590" s="654"/>
      <c r="E590" s="256"/>
      <c r="F590" s="232"/>
      <c r="G590" s="232"/>
      <c r="H590" s="231">
        <f t="shared" si="18"/>
        <v>0</v>
      </c>
      <c r="I590" s="231">
        <f t="shared" si="19"/>
        <v>0</v>
      </c>
    </row>
    <row r="591" spans="1:9" s="7" customFormat="1" hidden="1">
      <c r="A591" s="1554"/>
      <c r="B591" s="107"/>
      <c r="C591" s="654"/>
      <c r="D591" s="654"/>
      <c r="E591" s="256"/>
      <c r="F591" s="232"/>
      <c r="G591" s="232"/>
      <c r="H591" s="231">
        <f t="shared" si="18"/>
        <v>0</v>
      </c>
      <c r="I591" s="231">
        <f t="shared" si="19"/>
        <v>0</v>
      </c>
    </row>
    <row r="592" spans="1:9" s="7" customFormat="1" hidden="1">
      <c r="A592" s="1554"/>
      <c r="B592" s="107"/>
      <c r="C592" s="654"/>
      <c r="D592" s="654"/>
      <c r="E592" s="256"/>
      <c r="F592" s="232"/>
      <c r="G592" s="232"/>
      <c r="H592" s="231">
        <f t="shared" si="18"/>
        <v>0</v>
      </c>
      <c r="I592" s="231">
        <f t="shared" si="19"/>
        <v>0</v>
      </c>
    </row>
    <row r="593" spans="1:9" s="7" customFormat="1" hidden="1">
      <c r="A593" s="1554"/>
      <c r="B593" s="107"/>
      <c r="C593" s="654"/>
      <c r="D593" s="654"/>
      <c r="E593" s="256"/>
      <c r="F593" s="232"/>
      <c r="G593" s="232"/>
      <c r="H593" s="231">
        <f t="shared" si="18"/>
        <v>0</v>
      </c>
      <c r="I593" s="231">
        <f t="shared" si="19"/>
        <v>0</v>
      </c>
    </row>
    <row r="594" spans="1:9" s="7" customFormat="1" hidden="1">
      <c r="A594" s="1554"/>
      <c r="B594" s="107"/>
      <c r="C594" s="654"/>
      <c r="D594" s="654"/>
      <c r="E594" s="256"/>
      <c r="F594" s="232"/>
      <c r="G594" s="232"/>
      <c r="H594" s="231">
        <f t="shared" si="18"/>
        <v>0</v>
      </c>
      <c r="I594" s="231">
        <f t="shared" si="19"/>
        <v>0</v>
      </c>
    </row>
    <row r="595" spans="1:9" s="7" customFormat="1" hidden="1">
      <c r="A595" s="1554"/>
      <c r="B595" s="107"/>
      <c r="C595" s="654"/>
      <c r="D595" s="654"/>
      <c r="E595" s="256"/>
      <c r="F595" s="232"/>
      <c r="G595" s="232"/>
      <c r="H595" s="231">
        <f t="shared" si="18"/>
        <v>0</v>
      </c>
      <c r="I595" s="231">
        <f t="shared" si="19"/>
        <v>0</v>
      </c>
    </row>
    <row r="596" spans="1:9" s="7" customFormat="1" hidden="1">
      <c r="A596" s="1554"/>
      <c r="B596" s="107"/>
      <c r="C596" s="654"/>
      <c r="D596" s="654"/>
      <c r="E596" s="256"/>
      <c r="F596" s="232"/>
      <c r="G596" s="232"/>
      <c r="H596" s="231">
        <f t="shared" si="18"/>
        <v>0</v>
      </c>
      <c r="I596" s="231">
        <f t="shared" si="19"/>
        <v>0</v>
      </c>
    </row>
    <row r="597" spans="1:9" s="7" customFormat="1" hidden="1">
      <c r="A597" s="1554"/>
      <c r="B597" s="107"/>
      <c r="C597" s="654"/>
      <c r="D597" s="654"/>
      <c r="E597" s="256"/>
      <c r="F597" s="232"/>
      <c r="G597" s="232"/>
      <c r="H597" s="231">
        <f t="shared" si="18"/>
        <v>0</v>
      </c>
      <c r="I597" s="231">
        <f t="shared" si="19"/>
        <v>0</v>
      </c>
    </row>
    <row r="598" spans="1:9" s="7" customFormat="1" hidden="1">
      <c r="A598" s="1554"/>
      <c r="B598" s="107"/>
      <c r="C598" s="654"/>
      <c r="D598" s="654"/>
      <c r="E598" s="256"/>
      <c r="F598" s="232"/>
      <c r="G598" s="232"/>
      <c r="H598" s="231">
        <f t="shared" si="18"/>
        <v>0</v>
      </c>
      <c r="I598" s="231">
        <f t="shared" si="19"/>
        <v>0</v>
      </c>
    </row>
    <row r="599" spans="1:9" s="7" customFormat="1" hidden="1">
      <c r="A599" s="1554"/>
      <c r="B599" s="107"/>
      <c r="C599" s="654"/>
      <c r="D599" s="654"/>
      <c r="E599" s="256"/>
      <c r="F599" s="232"/>
      <c r="G599" s="232"/>
      <c r="H599" s="231">
        <f t="shared" si="18"/>
        <v>0</v>
      </c>
      <c r="I599" s="231">
        <f t="shared" si="19"/>
        <v>0</v>
      </c>
    </row>
    <row r="600" spans="1:9" s="7" customFormat="1" hidden="1">
      <c r="A600" s="1554"/>
      <c r="B600" s="107"/>
      <c r="C600" s="654"/>
      <c r="D600" s="654"/>
      <c r="E600" s="256"/>
      <c r="F600" s="232"/>
      <c r="G600" s="232"/>
      <c r="H600" s="231">
        <f t="shared" si="18"/>
        <v>0</v>
      </c>
      <c r="I600" s="231">
        <f t="shared" si="19"/>
        <v>0</v>
      </c>
    </row>
    <row r="601" spans="1:9" s="7" customFormat="1" hidden="1">
      <c r="A601" s="1554"/>
      <c r="B601" s="107"/>
      <c r="C601" s="654"/>
      <c r="D601" s="654"/>
      <c r="E601" s="256"/>
      <c r="F601" s="232"/>
      <c r="G601" s="232"/>
      <c r="H601" s="231">
        <f t="shared" si="18"/>
        <v>0</v>
      </c>
      <c r="I601" s="231">
        <f t="shared" si="19"/>
        <v>0</v>
      </c>
    </row>
    <row r="602" spans="1:9" s="7" customFormat="1" hidden="1">
      <c r="A602" s="1554"/>
      <c r="B602" s="107"/>
      <c r="C602" s="654"/>
      <c r="D602" s="654"/>
      <c r="E602" s="256"/>
      <c r="F602" s="232"/>
      <c r="G602" s="232"/>
      <c r="H602" s="231">
        <f t="shared" si="18"/>
        <v>0</v>
      </c>
      <c r="I602" s="231">
        <f t="shared" si="19"/>
        <v>0</v>
      </c>
    </row>
    <row r="603" spans="1:9" s="7" customFormat="1" hidden="1">
      <c r="A603" s="1554"/>
      <c r="B603" s="107"/>
      <c r="C603" s="654"/>
      <c r="D603" s="654"/>
      <c r="E603" s="256"/>
      <c r="F603" s="232"/>
      <c r="G603" s="232"/>
      <c r="H603" s="231">
        <f t="shared" si="18"/>
        <v>0</v>
      </c>
      <c r="I603" s="231">
        <f t="shared" si="19"/>
        <v>0</v>
      </c>
    </row>
    <row r="604" spans="1:9" s="7" customFormat="1" hidden="1">
      <c r="A604" s="1554"/>
      <c r="B604" s="107"/>
      <c r="C604" s="654"/>
      <c r="D604" s="654"/>
      <c r="E604" s="256"/>
      <c r="F604" s="232"/>
      <c r="G604" s="232"/>
      <c r="H604" s="231">
        <f t="shared" si="18"/>
        <v>0</v>
      </c>
      <c r="I604" s="231">
        <f t="shared" si="19"/>
        <v>0</v>
      </c>
    </row>
    <row r="605" spans="1:9" s="7" customFormat="1" hidden="1">
      <c r="A605" s="1554"/>
      <c r="B605" s="107"/>
      <c r="C605" s="654"/>
      <c r="D605" s="654"/>
      <c r="E605" s="256"/>
      <c r="F605" s="232"/>
      <c r="G605" s="232"/>
      <c r="H605" s="231">
        <f t="shared" si="18"/>
        <v>0</v>
      </c>
      <c r="I605" s="231">
        <f t="shared" si="19"/>
        <v>0</v>
      </c>
    </row>
    <row r="606" spans="1:9" s="185" customFormat="1" hidden="1">
      <c r="A606" s="1554"/>
      <c r="B606" s="119"/>
      <c r="C606" s="668"/>
      <c r="D606" s="668"/>
      <c r="E606" s="668"/>
      <c r="F606" s="238"/>
      <c r="G606" s="238"/>
      <c r="H606" s="231">
        <f t="shared" si="18"/>
        <v>0</v>
      </c>
      <c r="I606" s="231">
        <f t="shared" si="19"/>
        <v>0</v>
      </c>
    </row>
    <row r="607" spans="1:9" s="7" customFormat="1" hidden="1">
      <c r="A607" s="1554"/>
      <c r="B607" s="107"/>
      <c r="C607" s="256"/>
      <c r="D607" s="256"/>
      <c r="E607" s="256"/>
      <c r="F607" s="232"/>
      <c r="G607" s="232"/>
      <c r="H607" s="231">
        <f t="shared" si="18"/>
        <v>0</v>
      </c>
      <c r="I607" s="231">
        <f t="shared" si="19"/>
        <v>0</v>
      </c>
    </row>
    <row r="608" spans="1:9" s="7" customFormat="1" hidden="1">
      <c r="A608" s="1554"/>
      <c r="B608" s="107"/>
      <c r="C608" s="256"/>
      <c r="D608" s="256"/>
      <c r="E608" s="256"/>
      <c r="F608" s="232"/>
      <c r="G608" s="232"/>
      <c r="H608" s="231">
        <f t="shared" si="18"/>
        <v>0</v>
      </c>
      <c r="I608" s="231">
        <f t="shared" si="19"/>
        <v>0</v>
      </c>
    </row>
    <row r="609" spans="1:12" s="7" customFormat="1" hidden="1">
      <c r="A609" s="1554"/>
      <c r="B609" s="107"/>
      <c r="C609" s="654"/>
      <c r="D609" s="654"/>
      <c r="E609" s="654"/>
      <c r="F609" s="232"/>
      <c r="G609" s="232"/>
      <c r="H609" s="231">
        <f t="shared" si="18"/>
        <v>0</v>
      </c>
      <c r="I609" s="231">
        <f t="shared" si="19"/>
        <v>0</v>
      </c>
    </row>
    <row r="610" spans="1:12" s="7" customFormat="1" hidden="1">
      <c r="A610" s="1554"/>
      <c r="B610" s="107"/>
      <c r="C610" s="654"/>
      <c r="D610" s="654"/>
      <c r="E610" s="654"/>
      <c r="F610" s="232"/>
      <c r="G610" s="232"/>
      <c r="H610" s="231">
        <f t="shared" si="18"/>
        <v>0</v>
      </c>
      <c r="I610" s="231">
        <f t="shared" si="19"/>
        <v>0</v>
      </c>
    </row>
    <row r="611" spans="1:12" s="7" customFormat="1" hidden="1">
      <c r="A611" s="1554"/>
      <c r="B611" s="107"/>
      <c r="C611" s="654"/>
      <c r="D611" s="654"/>
      <c r="E611" s="654"/>
      <c r="F611" s="232"/>
      <c r="G611" s="232"/>
      <c r="H611" s="231">
        <f t="shared" si="18"/>
        <v>0</v>
      </c>
      <c r="I611" s="231">
        <f t="shared" si="19"/>
        <v>0</v>
      </c>
    </row>
    <row r="612" spans="1:12" s="7" customFormat="1" hidden="1">
      <c r="A612" s="1554"/>
      <c r="B612" s="107"/>
      <c r="C612" s="654"/>
      <c r="D612" s="654"/>
      <c r="E612" s="654"/>
      <c r="F612" s="232"/>
      <c r="G612" s="232"/>
      <c r="H612" s="231">
        <f t="shared" si="18"/>
        <v>0</v>
      </c>
      <c r="I612" s="231">
        <f t="shared" si="19"/>
        <v>0</v>
      </c>
    </row>
    <row r="613" spans="1:12" s="7" customFormat="1" hidden="1">
      <c r="A613" s="1554"/>
      <c r="B613" s="107"/>
      <c r="C613" s="654"/>
      <c r="D613" s="654"/>
      <c r="E613" s="654"/>
      <c r="F613" s="232"/>
      <c r="G613" s="232"/>
      <c r="H613" s="231">
        <f t="shared" si="18"/>
        <v>0</v>
      </c>
      <c r="I613" s="231">
        <f t="shared" si="19"/>
        <v>0</v>
      </c>
    </row>
    <row r="614" spans="1:12" s="7" customFormat="1" hidden="1">
      <c r="A614" s="1554"/>
      <c r="B614" s="268"/>
      <c r="C614" s="656"/>
      <c r="D614" s="656"/>
      <c r="E614" s="656"/>
      <c r="F614" s="232"/>
      <c r="G614" s="232"/>
      <c r="H614" s="231">
        <f t="shared" si="18"/>
        <v>0</v>
      </c>
      <c r="I614" s="231">
        <f t="shared" si="19"/>
        <v>0</v>
      </c>
    </row>
    <row r="615" spans="1:12" s="7" customFormat="1">
      <c r="A615" s="1558"/>
      <c r="B615" s="110" t="s">
        <v>985</v>
      </c>
      <c r="C615" s="685">
        <f>SUM(C563:C614)</f>
        <v>365919</v>
      </c>
      <c r="D615" s="685">
        <f>SUM(D563:D614)</f>
        <v>365919</v>
      </c>
      <c r="E615" s="685">
        <f>SUM(E563:E614)</f>
        <v>0</v>
      </c>
      <c r="F615" s="263">
        <f>SUM(F563:F577)</f>
        <v>0</v>
      </c>
      <c r="G615" s="236">
        <f>SUM(G563:G577)</f>
        <v>0</v>
      </c>
      <c r="H615" s="1497">
        <f t="shared" si="18"/>
        <v>0</v>
      </c>
      <c r="I615" s="1497">
        <f t="shared" si="19"/>
        <v>731838</v>
      </c>
      <c r="J615" s="1435"/>
      <c r="K615" s="1491"/>
      <c r="L615" s="1491"/>
    </row>
    <row r="616" spans="1:12" ht="75">
      <c r="A616" s="1566" t="s">
        <v>1144</v>
      </c>
      <c r="B616" s="181" t="s">
        <v>772</v>
      </c>
      <c r="C616" s="589">
        <v>40400</v>
      </c>
      <c r="D616" s="589">
        <v>40400</v>
      </c>
      <c r="E616" s="510"/>
      <c r="F616" s="237"/>
      <c r="G616" s="237"/>
      <c r="H616" s="1497">
        <f t="shared" si="18"/>
        <v>0</v>
      </c>
      <c r="I616" s="1497">
        <f t="shared" si="19"/>
        <v>80800</v>
      </c>
      <c r="J616" s="1440"/>
      <c r="K616" s="1490"/>
      <c r="L616" s="1490"/>
    </row>
    <row r="617" spans="1:12" ht="37.5">
      <c r="A617" s="1666"/>
      <c r="B617" s="369" t="s">
        <v>1273</v>
      </c>
      <c r="C617" s="590">
        <v>352451</v>
      </c>
      <c r="D617" s="590">
        <v>352451</v>
      </c>
      <c r="E617" s="590"/>
      <c r="F617" s="232"/>
      <c r="G617" s="232"/>
      <c r="H617" s="1497">
        <f t="shared" si="18"/>
        <v>0</v>
      </c>
      <c r="I617" s="1497">
        <f t="shared" si="19"/>
        <v>704902</v>
      </c>
      <c r="J617" s="1440"/>
      <c r="K617" s="1490"/>
      <c r="L617" s="1490"/>
    </row>
    <row r="618" spans="1:12" ht="56.25">
      <c r="A618" s="1666"/>
      <c r="B618" s="107" t="s">
        <v>1554</v>
      </c>
      <c r="C618" s="184">
        <v>35000</v>
      </c>
      <c r="D618" s="1229">
        <v>35000</v>
      </c>
      <c r="E618" s="1230"/>
      <c r="F618" s="232"/>
      <c r="G618" s="232"/>
      <c r="H618" s="1497">
        <f t="shared" si="18"/>
        <v>0</v>
      </c>
      <c r="I618" s="1497">
        <f t="shared" si="19"/>
        <v>70000</v>
      </c>
      <c r="J618" s="1440"/>
      <c r="K618" s="1490"/>
      <c r="L618" s="1490"/>
    </row>
    <row r="619" spans="1:12" ht="37.5">
      <c r="A619" s="1666"/>
      <c r="B619" s="107" t="s">
        <v>1555</v>
      </c>
      <c r="C619" s="1226">
        <v>5000</v>
      </c>
      <c r="D619" s="1226">
        <v>5000</v>
      </c>
      <c r="E619" s="1227"/>
      <c r="F619" s="232"/>
      <c r="G619" s="232"/>
      <c r="H619" s="1497">
        <f t="shared" si="18"/>
        <v>0</v>
      </c>
      <c r="I619" s="1497">
        <f t="shared" si="19"/>
        <v>10000</v>
      </c>
      <c r="J619" s="1440"/>
      <c r="K619" s="1490"/>
      <c r="L619" s="1490"/>
    </row>
    <row r="620" spans="1:12" hidden="1">
      <c r="A620" s="1667"/>
      <c r="B620" s="371"/>
      <c r="C620" s="844"/>
      <c r="D620" s="845"/>
      <c r="E620" s="845"/>
      <c r="F620" s="232"/>
      <c r="G620" s="232"/>
      <c r="H620" s="231">
        <f t="shared" si="18"/>
        <v>0</v>
      </c>
      <c r="I620" s="231">
        <f t="shared" si="19"/>
        <v>0</v>
      </c>
    </row>
    <row r="621" spans="1:12" hidden="1">
      <c r="A621" s="1667"/>
      <c r="B621" s="181"/>
      <c r="C621" s="654"/>
      <c r="D621" s="654"/>
      <c r="E621" s="655"/>
      <c r="F621" s="232"/>
      <c r="G621" s="232"/>
      <c r="H621" s="231">
        <f t="shared" si="18"/>
        <v>0</v>
      </c>
      <c r="I621" s="231">
        <f t="shared" si="19"/>
        <v>0</v>
      </c>
    </row>
    <row r="622" spans="1:12" hidden="1">
      <c r="A622" s="1667"/>
      <c r="B622" s="181"/>
      <c r="C622" s="654"/>
      <c r="D622" s="654"/>
      <c r="E622" s="655"/>
      <c r="F622" s="232"/>
      <c r="G622" s="232"/>
      <c r="H622" s="231">
        <f t="shared" si="18"/>
        <v>0</v>
      </c>
      <c r="I622" s="231">
        <f t="shared" si="19"/>
        <v>0</v>
      </c>
    </row>
    <row r="623" spans="1:12" hidden="1">
      <c r="A623" s="1667"/>
      <c r="B623" s="181"/>
      <c r="C623" s="654"/>
      <c r="D623" s="654"/>
      <c r="E623" s="655"/>
      <c r="F623" s="232"/>
      <c r="G623" s="232"/>
      <c r="H623" s="231">
        <f t="shared" si="18"/>
        <v>0</v>
      </c>
      <c r="I623" s="231">
        <f t="shared" si="19"/>
        <v>0</v>
      </c>
    </row>
    <row r="624" spans="1:12" s="7" customFormat="1" hidden="1">
      <c r="A624" s="1668"/>
      <c r="B624" s="107"/>
      <c r="C624" s="256"/>
      <c r="D624" s="256"/>
      <c r="E624" s="256"/>
      <c r="F624" s="232"/>
      <c r="G624" s="232"/>
      <c r="H624" s="231">
        <f t="shared" si="18"/>
        <v>0</v>
      </c>
      <c r="I624" s="231">
        <f t="shared" si="19"/>
        <v>0</v>
      </c>
    </row>
    <row r="625" spans="1:9" s="7" customFormat="1" hidden="1">
      <c r="A625" s="1668"/>
      <c r="B625" s="107"/>
      <c r="C625" s="654"/>
      <c r="D625" s="654"/>
      <c r="E625" s="256"/>
      <c r="F625" s="232"/>
      <c r="G625" s="232"/>
      <c r="H625" s="231">
        <f t="shared" si="18"/>
        <v>0</v>
      </c>
      <c r="I625" s="231">
        <f t="shared" si="19"/>
        <v>0</v>
      </c>
    </row>
    <row r="626" spans="1:9" s="7" customFormat="1" hidden="1">
      <c r="A626" s="1668"/>
      <c r="B626" s="107"/>
      <c r="C626" s="654"/>
      <c r="D626" s="654"/>
      <c r="E626" s="256"/>
      <c r="F626" s="232"/>
      <c r="G626" s="232"/>
      <c r="H626" s="231">
        <f t="shared" si="18"/>
        <v>0</v>
      </c>
      <c r="I626" s="231">
        <f t="shared" si="19"/>
        <v>0</v>
      </c>
    </row>
    <row r="627" spans="1:9" s="7" customFormat="1" hidden="1">
      <c r="A627" s="1668"/>
      <c r="B627" s="107"/>
      <c r="C627" s="654"/>
      <c r="D627" s="654"/>
      <c r="E627" s="256"/>
      <c r="F627" s="232"/>
      <c r="G627" s="232"/>
      <c r="H627" s="231">
        <f t="shared" si="18"/>
        <v>0</v>
      </c>
      <c r="I627" s="231">
        <f t="shared" si="19"/>
        <v>0</v>
      </c>
    </row>
    <row r="628" spans="1:9" s="7" customFormat="1" hidden="1">
      <c r="A628" s="1668"/>
      <c r="B628" s="107"/>
      <c r="C628" s="654"/>
      <c r="D628" s="654"/>
      <c r="E628" s="256"/>
      <c r="F628" s="232"/>
      <c r="G628" s="232"/>
      <c r="H628" s="231">
        <f t="shared" si="18"/>
        <v>0</v>
      </c>
      <c r="I628" s="231">
        <f t="shared" si="19"/>
        <v>0</v>
      </c>
    </row>
    <row r="629" spans="1:9" s="7" customFormat="1" hidden="1">
      <c r="A629" s="1668"/>
      <c r="B629" s="107"/>
      <c r="C629" s="654"/>
      <c r="D629" s="654"/>
      <c r="E629" s="256"/>
      <c r="F629" s="232"/>
      <c r="G629" s="232"/>
      <c r="H629" s="231">
        <f t="shared" si="18"/>
        <v>0</v>
      </c>
      <c r="I629" s="231">
        <f t="shared" si="19"/>
        <v>0</v>
      </c>
    </row>
    <row r="630" spans="1:9" s="7" customFormat="1" hidden="1">
      <c r="A630" s="1668"/>
      <c r="B630" s="107"/>
      <c r="C630" s="654"/>
      <c r="D630" s="654"/>
      <c r="E630" s="256"/>
      <c r="F630" s="232"/>
      <c r="G630" s="232"/>
      <c r="H630" s="231">
        <f t="shared" si="18"/>
        <v>0</v>
      </c>
      <c r="I630" s="231">
        <f t="shared" si="19"/>
        <v>0</v>
      </c>
    </row>
    <row r="631" spans="1:9" s="7" customFormat="1" hidden="1">
      <c r="A631" s="1668"/>
      <c r="B631" s="107"/>
      <c r="C631" s="654"/>
      <c r="D631" s="654"/>
      <c r="E631" s="256"/>
      <c r="F631" s="232"/>
      <c r="G631" s="232"/>
      <c r="H631" s="231">
        <f t="shared" si="18"/>
        <v>0</v>
      </c>
      <c r="I631" s="231">
        <f t="shared" si="19"/>
        <v>0</v>
      </c>
    </row>
    <row r="632" spans="1:9" s="7" customFormat="1" hidden="1">
      <c r="A632" s="1668"/>
      <c r="B632" s="107"/>
      <c r="C632" s="654"/>
      <c r="D632" s="654"/>
      <c r="E632" s="256"/>
      <c r="F632" s="232"/>
      <c r="G632" s="232"/>
      <c r="H632" s="231">
        <f t="shared" si="18"/>
        <v>0</v>
      </c>
      <c r="I632" s="231">
        <f t="shared" si="19"/>
        <v>0</v>
      </c>
    </row>
    <row r="633" spans="1:9" s="7" customFormat="1" hidden="1">
      <c r="A633" s="1668"/>
      <c r="B633" s="107"/>
      <c r="C633" s="654"/>
      <c r="D633" s="654"/>
      <c r="E633" s="256"/>
      <c r="F633" s="232"/>
      <c r="G633" s="232"/>
      <c r="H633" s="231">
        <f t="shared" si="18"/>
        <v>0</v>
      </c>
      <c r="I633" s="231">
        <f t="shared" si="19"/>
        <v>0</v>
      </c>
    </row>
    <row r="634" spans="1:9" s="7" customFormat="1" hidden="1">
      <c r="A634" s="1668"/>
      <c r="B634" s="107"/>
      <c r="C634" s="654"/>
      <c r="D634" s="654"/>
      <c r="E634" s="256"/>
      <c r="F634" s="232"/>
      <c r="G634" s="232"/>
      <c r="H634" s="231">
        <f t="shared" si="18"/>
        <v>0</v>
      </c>
      <c r="I634" s="231">
        <f t="shared" si="19"/>
        <v>0</v>
      </c>
    </row>
    <row r="635" spans="1:9" s="7" customFormat="1" hidden="1">
      <c r="A635" s="1668"/>
      <c r="B635" s="107"/>
      <c r="C635" s="654"/>
      <c r="D635" s="654"/>
      <c r="E635" s="256"/>
      <c r="F635" s="232"/>
      <c r="G635" s="232"/>
      <c r="H635" s="231">
        <f t="shared" si="18"/>
        <v>0</v>
      </c>
      <c r="I635" s="231">
        <f t="shared" si="19"/>
        <v>0</v>
      </c>
    </row>
    <row r="636" spans="1:9" s="7" customFormat="1" hidden="1">
      <c r="A636" s="1668"/>
      <c r="B636" s="107"/>
      <c r="C636" s="654"/>
      <c r="D636" s="654"/>
      <c r="E636" s="256"/>
      <c r="F636" s="232"/>
      <c r="G636" s="232"/>
      <c r="H636" s="231">
        <f t="shared" si="18"/>
        <v>0</v>
      </c>
      <c r="I636" s="231">
        <f t="shared" si="19"/>
        <v>0</v>
      </c>
    </row>
    <row r="637" spans="1:9" s="7" customFormat="1" hidden="1">
      <c r="A637" s="1668"/>
      <c r="B637" s="107"/>
      <c r="C637" s="654"/>
      <c r="D637" s="654"/>
      <c r="E637" s="256"/>
      <c r="F637" s="232"/>
      <c r="G637" s="232"/>
      <c r="H637" s="231">
        <f t="shared" si="18"/>
        <v>0</v>
      </c>
      <c r="I637" s="231">
        <f t="shared" si="19"/>
        <v>0</v>
      </c>
    </row>
    <row r="638" spans="1:9" s="7" customFormat="1" hidden="1">
      <c r="A638" s="1668"/>
      <c r="B638" s="107"/>
      <c r="C638" s="654"/>
      <c r="D638" s="654"/>
      <c r="E638" s="256"/>
      <c r="F638" s="232"/>
      <c r="G638" s="232"/>
      <c r="H638" s="231">
        <f t="shared" si="18"/>
        <v>0</v>
      </c>
      <c r="I638" s="231">
        <f t="shared" si="19"/>
        <v>0</v>
      </c>
    </row>
    <row r="639" spans="1:9" s="7" customFormat="1" hidden="1">
      <c r="A639" s="1668"/>
      <c r="B639" s="107"/>
      <c r="C639" s="654"/>
      <c r="D639" s="654"/>
      <c r="E639" s="256"/>
      <c r="F639" s="232"/>
      <c r="G639" s="232"/>
      <c r="H639" s="231">
        <f t="shared" si="18"/>
        <v>0</v>
      </c>
      <c r="I639" s="231">
        <f t="shared" si="19"/>
        <v>0</v>
      </c>
    </row>
    <row r="640" spans="1:9" s="7" customFormat="1" hidden="1">
      <c r="A640" s="1668"/>
      <c r="B640" s="107"/>
      <c r="C640" s="654"/>
      <c r="D640" s="654"/>
      <c r="E640" s="256"/>
      <c r="F640" s="232"/>
      <c r="G640" s="232"/>
      <c r="H640" s="231">
        <f t="shared" si="18"/>
        <v>0</v>
      </c>
      <c r="I640" s="231">
        <f t="shared" si="19"/>
        <v>0</v>
      </c>
    </row>
    <row r="641" spans="1:9" s="7" customFormat="1" hidden="1">
      <c r="A641" s="1668"/>
      <c r="B641" s="107"/>
      <c r="C641" s="654"/>
      <c r="D641" s="654"/>
      <c r="E641" s="256"/>
      <c r="F641" s="232"/>
      <c r="G641" s="232"/>
      <c r="H641" s="231">
        <f t="shared" si="18"/>
        <v>0</v>
      </c>
      <c r="I641" s="231">
        <f t="shared" si="19"/>
        <v>0</v>
      </c>
    </row>
    <row r="642" spans="1:9" s="7" customFormat="1" hidden="1">
      <c r="A642" s="1668"/>
      <c r="B642" s="107"/>
      <c r="C642" s="654"/>
      <c r="D642" s="654"/>
      <c r="E642" s="256"/>
      <c r="F642" s="232"/>
      <c r="G642" s="232"/>
      <c r="H642" s="231">
        <f t="shared" si="18"/>
        <v>0</v>
      </c>
      <c r="I642" s="231">
        <f t="shared" si="19"/>
        <v>0</v>
      </c>
    </row>
    <row r="643" spans="1:9" s="7" customFormat="1" hidden="1">
      <c r="A643" s="1668"/>
      <c r="B643" s="107"/>
      <c r="C643" s="654"/>
      <c r="D643" s="654"/>
      <c r="E643" s="256"/>
      <c r="F643" s="232"/>
      <c r="G643" s="232"/>
      <c r="H643" s="231">
        <f t="shared" si="18"/>
        <v>0</v>
      </c>
      <c r="I643" s="231">
        <f t="shared" si="19"/>
        <v>0</v>
      </c>
    </row>
    <row r="644" spans="1:9" s="7" customFormat="1" hidden="1">
      <c r="A644" s="1668"/>
      <c r="B644" s="107"/>
      <c r="C644" s="654"/>
      <c r="D644" s="654"/>
      <c r="E644" s="256"/>
      <c r="F644" s="232"/>
      <c r="G644" s="232"/>
      <c r="H644" s="231">
        <f t="shared" si="18"/>
        <v>0</v>
      </c>
      <c r="I644" s="231">
        <f t="shared" si="19"/>
        <v>0</v>
      </c>
    </row>
    <row r="645" spans="1:9" s="7" customFormat="1" hidden="1">
      <c r="A645" s="1668"/>
      <c r="B645" s="107"/>
      <c r="C645" s="654"/>
      <c r="D645" s="654"/>
      <c r="E645" s="256"/>
      <c r="F645" s="232"/>
      <c r="G645" s="232"/>
      <c r="H645" s="231">
        <f t="shared" si="18"/>
        <v>0</v>
      </c>
      <c r="I645" s="231">
        <f t="shared" si="19"/>
        <v>0</v>
      </c>
    </row>
    <row r="646" spans="1:9" s="7" customFormat="1" hidden="1">
      <c r="A646" s="1668"/>
      <c r="B646" s="107"/>
      <c r="C646" s="654"/>
      <c r="D646" s="654"/>
      <c r="E646" s="256"/>
      <c r="F646" s="232"/>
      <c r="G646" s="232"/>
      <c r="H646" s="231">
        <f t="shared" si="18"/>
        <v>0</v>
      </c>
      <c r="I646" s="231">
        <f t="shared" si="19"/>
        <v>0</v>
      </c>
    </row>
    <row r="647" spans="1:9" s="7" customFormat="1" hidden="1">
      <c r="A647" s="1668"/>
      <c r="B647" s="107"/>
      <c r="C647" s="654"/>
      <c r="D647" s="654"/>
      <c r="E647" s="256"/>
      <c r="F647" s="232"/>
      <c r="G647" s="232"/>
      <c r="H647" s="231">
        <f t="shared" si="18"/>
        <v>0</v>
      </c>
      <c r="I647" s="231">
        <f t="shared" si="19"/>
        <v>0</v>
      </c>
    </row>
    <row r="648" spans="1:9" s="7" customFormat="1" hidden="1">
      <c r="A648" s="1668"/>
      <c r="B648" s="107"/>
      <c r="C648" s="654"/>
      <c r="D648" s="654"/>
      <c r="E648" s="256"/>
      <c r="F648" s="232"/>
      <c r="G648" s="232"/>
      <c r="H648" s="231">
        <f t="shared" si="18"/>
        <v>0</v>
      </c>
      <c r="I648" s="231">
        <f t="shared" si="19"/>
        <v>0</v>
      </c>
    </row>
    <row r="649" spans="1:9" s="7" customFormat="1" hidden="1">
      <c r="A649" s="1668"/>
      <c r="B649" s="107"/>
      <c r="C649" s="654"/>
      <c r="D649" s="654"/>
      <c r="E649" s="256"/>
      <c r="F649" s="232"/>
      <c r="G649" s="232"/>
      <c r="H649" s="231">
        <f t="shared" ref="H649:H712" si="20">E649+D649-C649</f>
        <v>0</v>
      </c>
      <c r="I649" s="231">
        <f t="shared" ref="I649:I712" si="21">SUM(C649:E649)</f>
        <v>0</v>
      </c>
    </row>
    <row r="650" spans="1:9" s="7" customFormat="1" hidden="1">
      <c r="A650" s="1668"/>
      <c r="B650" s="107"/>
      <c r="C650" s="654"/>
      <c r="D650" s="654"/>
      <c r="E650" s="256"/>
      <c r="F650" s="232"/>
      <c r="G650" s="232"/>
      <c r="H650" s="231">
        <f t="shared" si="20"/>
        <v>0</v>
      </c>
      <c r="I650" s="231">
        <f t="shared" si="21"/>
        <v>0</v>
      </c>
    </row>
    <row r="651" spans="1:9" s="7" customFormat="1" hidden="1">
      <c r="A651" s="1668"/>
      <c r="B651" s="107"/>
      <c r="C651" s="654"/>
      <c r="D651" s="654"/>
      <c r="E651" s="256"/>
      <c r="F651" s="232"/>
      <c r="G651" s="232"/>
      <c r="H651" s="231">
        <f t="shared" si="20"/>
        <v>0</v>
      </c>
      <c r="I651" s="231">
        <f t="shared" si="21"/>
        <v>0</v>
      </c>
    </row>
    <row r="652" spans="1:9" s="7" customFormat="1" hidden="1">
      <c r="A652" s="1668"/>
      <c r="B652" s="107"/>
      <c r="C652" s="654"/>
      <c r="D652" s="654"/>
      <c r="E652" s="256"/>
      <c r="F652" s="232"/>
      <c r="G652" s="232"/>
      <c r="H652" s="231">
        <f t="shared" si="20"/>
        <v>0</v>
      </c>
      <c r="I652" s="231">
        <f t="shared" si="21"/>
        <v>0</v>
      </c>
    </row>
    <row r="653" spans="1:9" s="7" customFormat="1" hidden="1">
      <c r="A653" s="1668"/>
      <c r="B653" s="107"/>
      <c r="C653" s="654"/>
      <c r="D653" s="654"/>
      <c r="E653" s="256"/>
      <c r="F653" s="232"/>
      <c r="G653" s="232"/>
      <c r="H653" s="231">
        <f t="shared" si="20"/>
        <v>0</v>
      </c>
      <c r="I653" s="231">
        <f t="shared" si="21"/>
        <v>0</v>
      </c>
    </row>
    <row r="654" spans="1:9" s="7" customFormat="1" hidden="1">
      <c r="A654" s="1668"/>
      <c r="B654" s="107"/>
      <c r="C654" s="654"/>
      <c r="D654" s="654"/>
      <c r="E654" s="256"/>
      <c r="F654" s="232"/>
      <c r="G654" s="232"/>
      <c r="H654" s="231">
        <f t="shared" si="20"/>
        <v>0</v>
      </c>
      <c r="I654" s="231">
        <f t="shared" si="21"/>
        <v>0</v>
      </c>
    </row>
    <row r="655" spans="1:9" s="7" customFormat="1" hidden="1">
      <c r="A655" s="1668"/>
      <c r="B655" s="107"/>
      <c r="C655" s="654"/>
      <c r="D655" s="654"/>
      <c r="E655" s="256"/>
      <c r="F655" s="232"/>
      <c r="G655" s="232"/>
      <c r="H655" s="231">
        <f t="shared" si="20"/>
        <v>0</v>
      </c>
      <c r="I655" s="231">
        <f t="shared" si="21"/>
        <v>0</v>
      </c>
    </row>
    <row r="656" spans="1:9" s="7" customFormat="1" hidden="1">
      <c r="A656" s="1668"/>
      <c r="B656" s="107"/>
      <c r="C656" s="654"/>
      <c r="D656" s="654"/>
      <c r="E656" s="256"/>
      <c r="F656" s="232"/>
      <c r="G656" s="232"/>
      <c r="H656" s="231">
        <f t="shared" si="20"/>
        <v>0</v>
      </c>
      <c r="I656" s="231">
        <f t="shared" si="21"/>
        <v>0</v>
      </c>
    </row>
    <row r="657" spans="1:9" s="7" customFormat="1" hidden="1">
      <c r="A657" s="1668"/>
      <c r="B657" s="107"/>
      <c r="C657" s="654"/>
      <c r="D657" s="654"/>
      <c r="E657" s="256"/>
      <c r="F657" s="232"/>
      <c r="G657" s="232"/>
      <c r="H657" s="231">
        <f t="shared" si="20"/>
        <v>0</v>
      </c>
      <c r="I657" s="231">
        <f t="shared" si="21"/>
        <v>0</v>
      </c>
    </row>
    <row r="658" spans="1:9" s="7" customFormat="1" hidden="1">
      <c r="A658" s="1668"/>
      <c r="B658" s="107"/>
      <c r="C658" s="255"/>
      <c r="D658" s="256"/>
      <c r="E658" s="256"/>
      <c r="F658" s="232"/>
      <c r="G658" s="232"/>
      <c r="H658" s="231">
        <f t="shared" si="20"/>
        <v>0</v>
      </c>
      <c r="I658" s="231">
        <f t="shared" si="21"/>
        <v>0</v>
      </c>
    </row>
    <row r="659" spans="1:9" s="7" customFormat="1" hidden="1">
      <c r="A659" s="1668"/>
      <c r="B659" s="107"/>
      <c r="C659" s="255"/>
      <c r="D659" s="256"/>
      <c r="E659" s="256"/>
      <c r="F659" s="232"/>
      <c r="G659" s="232"/>
      <c r="H659" s="231">
        <f t="shared" si="20"/>
        <v>0</v>
      </c>
      <c r="I659" s="231">
        <f t="shared" si="21"/>
        <v>0</v>
      </c>
    </row>
    <row r="660" spans="1:9" s="7" customFormat="1" hidden="1">
      <c r="A660" s="1668"/>
      <c r="B660" s="107"/>
      <c r="C660" s="255"/>
      <c r="D660" s="256"/>
      <c r="E660" s="256"/>
      <c r="F660" s="232"/>
      <c r="G660" s="232"/>
      <c r="H660" s="231">
        <f t="shared" si="20"/>
        <v>0</v>
      </c>
      <c r="I660" s="231">
        <f t="shared" si="21"/>
        <v>0</v>
      </c>
    </row>
    <row r="661" spans="1:9" s="7" customFormat="1" hidden="1">
      <c r="A661" s="1668"/>
      <c r="B661" s="107"/>
      <c r="C661" s="654"/>
      <c r="D661" s="654"/>
      <c r="E661" s="256"/>
      <c r="F661" s="232"/>
      <c r="G661" s="232"/>
      <c r="H661" s="231">
        <f t="shared" si="20"/>
        <v>0</v>
      </c>
      <c r="I661" s="231">
        <f t="shared" si="21"/>
        <v>0</v>
      </c>
    </row>
    <row r="662" spans="1:9" s="7" customFormat="1" hidden="1">
      <c r="A662" s="1668"/>
      <c r="B662" s="107"/>
      <c r="C662" s="654"/>
      <c r="D662" s="654"/>
      <c r="E662" s="256"/>
      <c r="F662" s="232"/>
      <c r="G662" s="232"/>
      <c r="H662" s="231">
        <f t="shared" si="20"/>
        <v>0</v>
      </c>
      <c r="I662" s="231">
        <f t="shared" si="21"/>
        <v>0</v>
      </c>
    </row>
    <row r="663" spans="1:9" s="7" customFormat="1" hidden="1">
      <c r="A663" s="1668"/>
      <c r="B663" s="107"/>
      <c r="C663" s="654"/>
      <c r="D663" s="654"/>
      <c r="E663" s="256"/>
      <c r="F663" s="232"/>
      <c r="G663" s="232"/>
      <c r="H663" s="231">
        <f t="shared" si="20"/>
        <v>0</v>
      </c>
      <c r="I663" s="231">
        <f t="shared" si="21"/>
        <v>0</v>
      </c>
    </row>
    <row r="664" spans="1:9" s="7" customFormat="1" hidden="1">
      <c r="A664" s="1668"/>
      <c r="B664" s="107"/>
      <c r="C664" s="654"/>
      <c r="D664" s="654"/>
      <c r="E664" s="256"/>
      <c r="F664" s="232"/>
      <c r="G664" s="232"/>
      <c r="H664" s="231">
        <f t="shared" si="20"/>
        <v>0</v>
      </c>
      <c r="I664" s="231">
        <f t="shared" si="21"/>
        <v>0</v>
      </c>
    </row>
    <row r="665" spans="1:9" s="7" customFormat="1" hidden="1">
      <c r="A665" s="1669"/>
      <c r="B665" s="273"/>
      <c r="C665" s="682"/>
      <c r="D665" s="682"/>
      <c r="E665" s="275"/>
      <c r="F665" s="232"/>
      <c r="G665" s="232"/>
      <c r="H665" s="231">
        <f t="shared" si="20"/>
        <v>0</v>
      </c>
      <c r="I665" s="231">
        <f t="shared" si="21"/>
        <v>0</v>
      </c>
    </row>
    <row r="666" spans="1:9" s="7" customFormat="1" hidden="1">
      <c r="A666" s="1669"/>
      <c r="B666" s="107"/>
      <c r="C666" s="654"/>
      <c r="D666" s="654"/>
      <c r="E666" s="256"/>
      <c r="F666" s="232"/>
      <c r="G666" s="232"/>
      <c r="H666" s="231">
        <f t="shared" si="20"/>
        <v>0</v>
      </c>
      <c r="I666" s="231">
        <f t="shared" si="21"/>
        <v>0</v>
      </c>
    </row>
    <row r="667" spans="1:9" s="7" customFormat="1" hidden="1">
      <c r="A667" s="1669"/>
      <c r="B667" s="107"/>
      <c r="C667" s="654"/>
      <c r="D667" s="654"/>
      <c r="E667" s="256"/>
      <c r="F667" s="232"/>
      <c r="G667" s="232"/>
      <c r="H667" s="231">
        <f t="shared" si="20"/>
        <v>0</v>
      </c>
      <c r="I667" s="231">
        <f t="shared" si="21"/>
        <v>0</v>
      </c>
    </row>
    <row r="668" spans="1:9" s="7" customFormat="1" hidden="1">
      <c r="A668" s="1669"/>
      <c r="B668" s="107"/>
      <c r="C668" s="654"/>
      <c r="D668" s="654"/>
      <c r="E668" s="256"/>
      <c r="F668" s="232"/>
      <c r="G668" s="232"/>
      <c r="H668" s="231">
        <f t="shared" si="20"/>
        <v>0</v>
      </c>
      <c r="I668" s="231">
        <f t="shared" si="21"/>
        <v>0</v>
      </c>
    </row>
    <row r="669" spans="1:9" s="7" customFormat="1" hidden="1">
      <c r="A669" s="1669"/>
      <c r="B669" s="107"/>
      <c r="C669" s="654"/>
      <c r="D669" s="654"/>
      <c r="E669" s="256"/>
      <c r="F669" s="232"/>
      <c r="G669" s="232"/>
      <c r="H669" s="231">
        <f t="shared" si="20"/>
        <v>0</v>
      </c>
      <c r="I669" s="231">
        <f t="shared" si="21"/>
        <v>0</v>
      </c>
    </row>
    <row r="670" spans="1:9" s="7" customFormat="1" hidden="1">
      <c r="A670" s="1669"/>
      <c r="B670" s="107"/>
      <c r="C670" s="654"/>
      <c r="D670" s="654"/>
      <c r="E670" s="256"/>
      <c r="F670" s="232"/>
      <c r="G670" s="232"/>
      <c r="H670" s="231">
        <f t="shared" si="20"/>
        <v>0</v>
      </c>
      <c r="I670" s="231">
        <f t="shared" si="21"/>
        <v>0</v>
      </c>
    </row>
    <row r="671" spans="1:9" s="7" customFormat="1" hidden="1">
      <c r="A671" s="1669"/>
      <c r="B671" s="107"/>
      <c r="C671" s="654"/>
      <c r="D671" s="654"/>
      <c r="E671" s="256"/>
      <c r="F671" s="232"/>
      <c r="G671" s="232"/>
      <c r="H671" s="231">
        <f t="shared" si="20"/>
        <v>0</v>
      </c>
      <c r="I671" s="231">
        <f t="shared" si="21"/>
        <v>0</v>
      </c>
    </row>
    <row r="672" spans="1:9" s="7" customFormat="1" ht="18" hidden="1" customHeight="1">
      <c r="A672" s="1669"/>
      <c r="B672" s="181"/>
      <c r="C672" s="654"/>
      <c r="D672" s="654"/>
      <c r="E672" s="655"/>
      <c r="F672" s="232"/>
      <c r="G672" s="232"/>
      <c r="H672" s="231">
        <f t="shared" si="20"/>
        <v>0</v>
      </c>
      <c r="I672" s="231">
        <f t="shared" si="21"/>
        <v>0</v>
      </c>
    </row>
    <row r="673" spans="1:12" s="7" customFormat="1" ht="18" hidden="1" customHeight="1">
      <c r="A673" s="1669"/>
      <c r="B673" s="102"/>
      <c r="C673" s="256"/>
      <c r="D673" s="654"/>
      <c r="E673" s="686"/>
      <c r="F673" s="232"/>
      <c r="G673" s="232"/>
      <c r="H673" s="231">
        <f t="shared" si="20"/>
        <v>0</v>
      </c>
      <c r="I673" s="231">
        <f t="shared" si="21"/>
        <v>0</v>
      </c>
    </row>
    <row r="674" spans="1:12" s="7" customFormat="1" ht="18" hidden="1" customHeight="1">
      <c r="A674" s="1669"/>
      <c r="B674" s="270"/>
      <c r="C674" s="657"/>
      <c r="D674" s="656"/>
      <c r="E674" s="687"/>
      <c r="F674" s="232"/>
      <c r="G674" s="232"/>
      <c r="H674" s="231">
        <f t="shared" si="20"/>
        <v>0</v>
      </c>
      <c r="I674" s="231">
        <f t="shared" si="21"/>
        <v>0</v>
      </c>
    </row>
    <row r="675" spans="1:12">
      <c r="A675" s="1666"/>
      <c r="B675" s="209" t="s">
        <v>985</v>
      </c>
      <c r="C675" s="581">
        <f>SUM(C616:C674)</f>
        <v>432851</v>
      </c>
      <c r="D675" s="581">
        <f>SUM(D616:D674)</f>
        <v>432851</v>
      </c>
      <c r="E675" s="581">
        <f>SUM(E616:E674)</f>
        <v>0</v>
      </c>
      <c r="F675" s="263">
        <f>SUM(F616:F617)</f>
        <v>0</v>
      </c>
      <c r="G675" s="236">
        <f>SUM(G616:G617)</f>
        <v>0</v>
      </c>
      <c r="H675" s="1497">
        <f t="shared" si="20"/>
        <v>0</v>
      </c>
      <c r="I675" s="1497">
        <f t="shared" si="21"/>
        <v>865702</v>
      </c>
      <c r="J675" s="1440"/>
      <c r="K675" s="1490"/>
      <c r="L675" s="1490"/>
    </row>
    <row r="676" spans="1:12" ht="75">
      <c r="A676" s="1566" t="s">
        <v>1167</v>
      </c>
      <c r="B676" s="181" t="s">
        <v>772</v>
      </c>
      <c r="C676" s="589">
        <v>36500</v>
      </c>
      <c r="D676" s="589">
        <v>36500</v>
      </c>
      <c r="E676" s="510"/>
      <c r="F676" s="237"/>
      <c r="G676" s="237"/>
      <c r="H676" s="1497">
        <f t="shared" si="20"/>
        <v>0</v>
      </c>
      <c r="I676" s="1497">
        <f t="shared" si="21"/>
        <v>73000</v>
      </c>
      <c r="J676" s="1440"/>
      <c r="K676" s="1490"/>
      <c r="L676" s="1490"/>
    </row>
    <row r="677" spans="1:12" s="93" customFormat="1" ht="112.5">
      <c r="A677" s="1566"/>
      <c r="B677" s="107" t="s">
        <v>773</v>
      </c>
      <c r="C677" s="589">
        <v>180000</v>
      </c>
      <c r="D677" s="589"/>
      <c r="E677" s="589">
        <v>180000</v>
      </c>
      <c r="F677" s="239"/>
      <c r="G677" s="239"/>
      <c r="H677" s="1497">
        <f t="shared" si="20"/>
        <v>0</v>
      </c>
      <c r="I677" s="1497">
        <f t="shared" si="21"/>
        <v>360000</v>
      </c>
      <c r="J677" s="1440"/>
      <c r="K677" s="1490"/>
      <c r="L677" s="1490"/>
    </row>
    <row r="678" spans="1:12" ht="37.5">
      <c r="A678" s="1566"/>
      <c r="B678" s="369" t="s">
        <v>1273</v>
      </c>
      <c r="C678" s="590">
        <v>241209</v>
      </c>
      <c r="D678" s="590">
        <v>241209</v>
      </c>
      <c r="E678" s="590"/>
      <c r="F678" s="232"/>
      <c r="G678" s="232"/>
      <c r="H678" s="1497">
        <f t="shared" si="20"/>
        <v>0</v>
      </c>
      <c r="I678" s="1497">
        <f t="shared" si="21"/>
        <v>482418</v>
      </c>
      <c r="J678" s="1440"/>
      <c r="K678" s="1490"/>
      <c r="L678" s="1490"/>
    </row>
    <row r="679" spans="1:12" ht="93.75">
      <c r="A679" s="1566"/>
      <c r="B679" s="1220" t="s">
        <v>1336</v>
      </c>
      <c r="C679" s="1214">
        <v>200000</v>
      </c>
      <c r="D679" s="256">
        <v>200000</v>
      </c>
      <c r="E679" s="256"/>
      <c r="F679" s="232"/>
      <c r="G679" s="232"/>
      <c r="H679" s="1497">
        <f t="shared" si="20"/>
        <v>0</v>
      </c>
      <c r="I679" s="1497">
        <f t="shared" si="21"/>
        <v>400000</v>
      </c>
      <c r="J679" s="1440"/>
      <c r="K679" s="1490"/>
      <c r="L679" s="1490"/>
    </row>
    <row r="680" spans="1:12" s="7" customFormat="1" hidden="1">
      <c r="A680" s="1554"/>
      <c r="B680" s="107"/>
      <c r="C680" s="589"/>
      <c r="D680" s="589"/>
      <c r="E680" s="510"/>
      <c r="F680" s="232"/>
      <c r="G680" s="232"/>
      <c r="H680" s="231">
        <f t="shared" si="20"/>
        <v>0</v>
      </c>
      <c r="I680" s="231">
        <f t="shared" si="21"/>
        <v>0</v>
      </c>
    </row>
    <row r="681" spans="1:12" hidden="1">
      <c r="A681" s="1566"/>
      <c r="B681" s="107"/>
      <c r="C681" s="589"/>
      <c r="D681" s="589"/>
      <c r="E681" s="510"/>
      <c r="F681" s="244"/>
      <c r="G681" s="244"/>
      <c r="H681" s="231">
        <f t="shared" si="20"/>
        <v>0</v>
      </c>
      <c r="I681" s="231">
        <f t="shared" si="21"/>
        <v>0</v>
      </c>
    </row>
    <row r="682" spans="1:12" s="7" customFormat="1" hidden="1">
      <c r="A682" s="1558"/>
      <c r="B682" s="107"/>
      <c r="C682" s="589"/>
      <c r="D682" s="589"/>
      <c r="E682" s="510"/>
      <c r="F682" s="232"/>
      <c r="G682" s="232"/>
      <c r="H682" s="231">
        <f t="shared" si="20"/>
        <v>0</v>
      </c>
      <c r="I682" s="231">
        <f t="shared" si="21"/>
        <v>0</v>
      </c>
    </row>
    <row r="683" spans="1:12" s="7" customFormat="1" hidden="1">
      <c r="A683" s="1558"/>
      <c r="B683" s="107"/>
      <c r="C683" s="589"/>
      <c r="D683" s="589"/>
      <c r="E683" s="510"/>
      <c r="F683" s="232"/>
      <c r="G683" s="232"/>
      <c r="H683" s="231">
        <f t="shared" si="20"/>
        <v>0</v>
      </c>
      <c r="I683" s="231">
        <f t="shared" si="21"/>
        <v>0</v>
      </c>
    </row>
    <row r="684" spans="1:12" s="7" customFormat="1" hidden="1">
      <c r="A684" s="1558"/>
      <c r="B684" s="770"/>
      <c r="C684" s="778"/>
      <c r="D684" s="778"/>
      <c r="E684" s="510"/>
      <c r="F684" s="232"/>
      <c r="G684" s="232"/>
      <c r="H684" s="231">
        <f t="shared" si="20"/>
        <v>0</v>
      </c>
      <c r="I684" s="231">
        <f t="shared" si="21"/>
        <v>0</v>
      </c>
    </row>
    <row r="685" spans="1:12" s="7" customFormat="1" hidden="1">
      <c r="A685" s="1558"/>
      <c r="B685" s="107"/>
      <c r="C685" s="589"/>
      <c r="D685" s="589"/>
      <c r="E685" s="510"/>
      <c r="F685" s="232"/>
      <c r="G685" s="232"/>
      <c r="H685" s="231">
        <f t="shared" si="20"/>
        <v>0</v>
      </c>
      <c r="I685" s="231">
        <f t="shared" si="21"/>
        <v>0</v>
      </c>
    </row>
    <row r="686" spans="1:12" s="7" customFormat="1" hidden="1">
      <c r="A686" s="1558"/>
      <c r="B686" s="562"/>
      <c r="C686" s="648"/>
      <c r="D686" s="648"/>
      <c r="E686" s="648"/>
      <c r="F686" s="232"/>
      <c r="G686" s="232"/>
      <c r="H686" s="231">
        <f t="shared" si="20"/>
        <v>0</v>
      </c>
      <c r="I686" s="231">
        <f t="shared" si="21"/>
        <v>0</v>
      </c>
    </row>
    <row r="687" spans="1:12" s="7" customFormat="1" hidden="1">
      <c r="A687" s="1558"/>
      <c r="B687" s="562"/>
      <c r="C687" s="604"/>
      <c r="D687" s="604"/>
      <c r="E687" s="648"/>
      <c r="F687" s="232"/>
      <c r="G687" s="232"/>
      <c r="H687" s="231">
        <f t="shared" si="20"/>
        <v>0</v>
      </c>
      <c r="I687" s="231">
        <f t="shared" si="21"/>
        <v>0</v>
      </c>
    </row>
    <row r="688" spans="1:12" s="7" customFormat="1" hidden="1">
      <c r="A688" s="1558"/>
      <c r="B688" s="617"/>
      <c r="C688" s="634"/>
      <c r="D688" s="633"/>
      <c r="E688" s="633"/>
      <c r="F688" s="232"/>
      <c r="G688" s="232"/>
      <c r="H688" s="231">
        <f t="shared" si="20"/>
        <v>0</v>
      </c>
      <c r="I688" s="231">
        <f t="shared" si="21"/>
        <v>0</v>
      </c>
    </row>
    <row r="689" spans="1:9" s="7" customFormat="1" hidden="1">
      <c r="A689" s="1558"/>
      <c r="B689" s="107"/>
      <c r="C689" s="580"/>
      <c r="D689" s="256"/>
      <c r="E689" s="256"/>
      <c r="F689" s="232"/>
      <c r="G689" s="232"/>
      <c r="H689" s="231">
        <f t="shared" si="20"/>
        <v>0</v>
      </c>
      <c r="I689" s="231">
        <f t="shared" si="21"/>
        <v>0</v>
      </c>
    </row>
    <row r="690" spans="1:9" s="7" customFormat="1" hidden="1">
      <c r="A690" s="1558"/>
      <c r="B690" s="107"/>
      <c r="C690" s="256"/>
      <c r="D690" s="256"/>
      <c r="E690" s="256"/>
      <c r="F690" s="232"/>
      <c r="G690" s="232"/>
      <c r="H690" s="231">
        <f t="shared" si="20"/>
        <v>0</v>
      </c>
      <c r="I690" s="231">
        <f t="shared" si="21"/>
        <v>0</v>
      </c>
    </row>
    <row r="691" spans="1:9" s="7" customFormat="1" hidden="1">
      <c r="A691" s="1558"/>
      <c r="B691" s="425"/>
      <c r="C691" s="649"/>
      <c r="D691" s="649"/>
      <c r="E691" s="256"/>
      <c r="F691" s="232"/>
      <c r="G691" s="232"/>
      <c r="H691" s="231">
        <f t="shared" si="20"/>
        <v>0</v>
      </c>
      <c r="I691" s="231">
        <f t="shared" si="21"/>
        <v>0</v>
      </c>
    </row>
    <row r="692" spans="1:9" s="7" customFormat="1" hidden="1">
      <c r="A692" s="1558"/>
      <c r="B692" s="768"/>
      <c r="C692" s="769"/>
      <c r="D692" s="769"/>
      <c r="E692" s="769"/>
      <c r="F692" s="232"/>
      <c r="G692" s="232"/>
      <c r="H692" s="231">
        <f t="shared" si="20"/>
        <v>0</v>
      </c>
      <c r="I692" s="231">
        <f t="shared" si="21"/>
        <v>0</v>
      </c>
    </row>
    <row r="693" spans="1:9" s="7" customFormat="1" hidden="1">
      <c r="A693" s="1558"/>
      <c r="B693" s="773"/>
      <c r="C693" s="771"/>
      <c r="D693" s="771"/>
      <c r="E693" s="772"/>
      <c r="F693" s="232"/>
      <c r="G693" s="232"/>
      <c r="H693" s="231">
        <f t="shared" si="20"/>
        <v>0</v>
      </c>
      <c r="I693" s="231">
        <f t="shared" si="21"/>
        <v>0</v>
      </c>
    </row>
    <row r="694" spans="1:9" s="7" customFormat="1" hidden="1">
      <c r="A694" s="1558"/>
      <c r="B694" s="773"/>
      <c r="C694" s="771"/>
      <c r="D694" s="771"/>
      <c r="E694" s="772"/>
      <c r="F694" s="232"/>
      <c r="G694" s="232"/>
      <c r="H694" s="231">
        <f t="shared" si="20"/>
        <v>0</v>
      </c>
      <c r="I694" s="231">
        <f t="shared" si="21"/>
        <v>0</v>
      </c>
    </row>
    <row r="695" spans="1:9" s="418" customFormat="1" hidden="1">
      <c r="A695" s="1567"/>
      <c r="B695" s="773"/>
      <c r="C695" s="816"/>
      <c r="D695" s="816"/>
      <c r="E695" s="774"/>
      <c r="F695" s="232"/>
      <c r="G695" s="232"/>
      <c r="H695" s="231">
        <f t="shared" si="20"/>
        <v>0</v>
      </c>
      <c r="I695" s="231">
        <f t="shared" si="21"/>
        <v>0</v>
      </c>
    </row>
    <row r="696" spans="1:9" s="418" customFormat="1" hidden="1">
      <c r="A696" s="1567"/>
      <c r="B696" s="773"/>
      <c r="C696" s="816"/>
      <c r="D696" s="816"/>
      <c r="E696" s="774"/>
      <c r="F696" s="232"/>
      <c r="G696" s="232"/>
      <c r="H696" s="231">
        <f t="shared" si="20"/>
        <v>0</v>
      </c>
      <c r="I696" s="231">
        <f t="shared" si="21"/>
        <v>0</v>
      </c>
    </row>
    <row r="697" spans="1:9" s="7" customFormat="1" hidden="1">
      <c r="A697" s="1558"/>
      <c r="B697" s="773"/>
      <c r="C697" s="771"/>
      <c r="D697" s="771"/>
      <c r="E697" s="772"/>
      <c r="F697" s="232"/>
      <c r="G697" s="232"/>
      <c r="H697" s="231">
        <f t="shared" si="20"/>
        <v>0</v>
      </c>
      <c r="I697" s="231">
        <f t="shared" si="21"/>
        <v>0</v>
      </c>
    </row>
    <row r="698" spans="1:9" s="7" customFormat="1" hidden="1">
      <c r="A698" s="1558"/>
      <c r="B698" s="770"/>
      <c r="C698" s="771"/>
      <c r="D698" s="771"/>
      <c r="E698" s="772"/>
      <c r="F698" s="232"/>
      <c r="G698" s="232"/>
      <c r="H698" s="231">
        <f t="shared" si="20"/>
        <v>0</v>
      </c>
      <c r="I698" s="231">
        <f t="shared" si="21"/>
        <v>0</v>
      </c>
    </row>
    <row r="699" spans="1:9" s="7" customFormat="1" hidden="1">
      <c r="A699" s="1558"/>
      <c r="B699" s="770"/>
      <c r="C699" s="771"/>
      <c r="D699" s="771"/>
      <c r="E699" s="772"/>
      <c r="F699" s="232"/>
      <c r="G699" s="232"/>
      <c r="H699" s="231">
        <f t="shared" si="20"/>
        <v>0</v>
      </c>
      <c r="I699" s="231">
        <f t="shared" si="21"/>
        <v>0</v>
      </c>
    </row>
    <row r="700" spans="1:9" s="7" customFormat="1" hidden="1">
      <c r="A700" s="1558"/>
      <c r="B700" s="773"/>
      <c r="C700" s="771"/>
      <c r="D700" s="771"/>
      <c r="E700" s="772"/>
      <c r="F700" s="232"/>
      <c r="G700" s="232"/>
      <c r="H700" s="231">
        <f t="shared" si="20"/>
        <v>0</v>
      </c>
      <c r="I700" s="231">
        <f t="shared" si="21"/>
        <v>0</v>
      </c>
    </row>
    <row r="701" spans="1:9" s="7" customFormat="1" hidden="1">
      <c r="A701" s="1554"/>
      <c r="B701" s="371"/>
      <c r="C701" s="829"/>
      <c r="D701" s="829"/>
      <c r="E701" s="829"/>
      <c r="F701" s="232"/>
      <c r="G701" s="232"/>
      <c r="H701" s="231">
        <f t="shared" si="20"/>
        <v>0</v>
      </c>
      <c r="I701" s="231">
        <f t="shared" si="21"/>
        <v>0</v>
      </c>
    </row>
    <row r="702" spans="1:9" s="7" customFormat="1" hidden="1">
      <c r="A702" s="1554"/>
      <c r="B702" s="371"/>
      <c r="C702" s="853"/>
      <c r="D702" s="853"/>
      <c r="E702" s="853"/>
      <c r="F702" s="232"/>
      <c r="G702" s="232"/>
      <c r="H702" s="231">
        <f t="shared" si="20"/>
        <v>0</v>
      </c>
      <c r="I702" s="231">
        <f t="shared" si="21"/>
        <v>0</v>
      </c>
    </row>
    <row r="703" spans="1:9" s="7" customFormat="1" hidden="1">
      <c r="A703" s="1554"/>
      <c r="B703" s="371"/>
      <c r="C703" s="853"/>
      <c r="D703" s="854"/>
      <c r="E703" s="853"/>
      <c r="F703" s="232"/>
      <c r="G703" s="232"/>
      <c r="H703" s="231">
        <f t="shared" si="20"/>
        <v>0</v>
      </c>
      <c r="I703" s="231">
        <f t="shared" si="21"/>
        <v>0</v>
      </c>
    </row>
    <row r="704" spans="1:9" s="7" customFormat="1" hidden="1">
      <c r="A704" s="1554"/>
      <c r="B704" s="371"/>
      <c r="C704" s="853"/>
      <c r="D704" s="855"/>
      <c r="E704" s="855"/>
      <c r="F704" s="232"/>
      <c r="G704" s="232"/>
      <c r="H704" s="231">
        <f t="shared" si="20"/>
        <v>0</v>
      </c>
      <c r="I704" s="231">
        <f t="shared" si="21"/>
        <v>0</v>
      </c>
    </row>
    <row r="705" spans="1:9" s="7" customFormat="1" hidden="1">
      <c r="A705" s="1554"/>
      <c r="B705" s="371"/>
      <c r="C705" s="853"/>
      <c r="D705" s="853"/>
      <c r="E705" s="853"/>
      <c r="F705" s="232"/>
      <c r="G705" s="232"/>
      <c r="H705" s="231">
        <f t="shared" si="20"/>
        <v>0</v>
      </c>
      <c r="I705" s="231">
        <f t="shared" si="21"/>
        <v>0</v>
      </c>
    </row>
    <row r="706" spans="1:9" s="7" customFormat="1" hidden="1">
      <c r="A706" s="1554"/>
      <c r="B706" s="821"/>
      <c r="C706" s="852"/>
      <c r="D706" s="852"/>
      <c r="E706" s="852"/>
      <c r="F706" s="232"/>
      <c r="G706" s="232"/>
      <c r="H706" s="231">
        <f t="shared" si="20"/>
        <v>0</v>
      </c>
      <c r="I706" s="231">
        <f t="shared" si="21"/>
        <v>0</v>
      </c>
    </row>
    <row r="707" spans="1:9" s="7" customFormat="1" hidden="1">
      <c r="A707" s="1554"/>
      <c r="B707" s="371"/>
      <c r="C707" s="851"/>
      <c r="D707" s="851"/>
      <c r="E707" s="852"/>
      <c r="F707" s="232"/>
      <c r="G707" s="232"/>
      <c r="H707" s="231">
        <f t="shared" si="20"/>
        <v>0</v>
      </c>
      <c r="I707" s="231">
        <f t="shared" si="21"/>
        <v>0</v>
      </c>
    </row>
    <row r="708" spans="1:9" s="7" customFormat="1" hidden="1">
      <c r="A708" s="1554"/>
      <c r="B708" s="371"/>
      <c r="C708" s="851"/>
      <c r="D708" s="851"/>
      <c r="E708" s="852"/>
      <c r="F708" s="232"/>
      <c r="G708" s="232"/>
      <c r="H708" s="231">
        <f t="shared" si="20"/>
        <v>0</v>
      </c>
      <c r="I708" s="231">
        <f t="shared" si="21"/>
        <v>0</v>
      </c>
    </row>
    <row r="709" spans="1:9" s="7" customFormat="1" hidden="1">
      <c r="A709" s="1554"/>
      <c r="B709" s="371"/>
      <c r="C709" s="851"/>
      <c r="D709" s="851"/>
      <c r="E709" s="852"/>
      <c r="F709" s="232"/>
      <c r="G709" s="232"/>
      <c r="H709" s="231">
        <f t="shared" si="20"/>
        <v>0</v>
      </c>
      <c r="I709" s="231">
        <f t="shared" si="21"/>
        <v>0</v>
      </c>
    </row>
    <row r="710" spans="1:9" s="120" customFormat="1" hidden="1">
      <c r="A710" s="1554"/>
      <c r="B710" s="371"/>
      <c r="C710" s="851"/>
      <c r="D710" s="851"/>
      <c r="E710" s="852"/>
      <c r="F710" s="238"/>
      <c r="G710" s="238"/>
      <c r="H710" s="231">
        <f t="shared" si="20"/>
        <v>0</v>
      </c>
      <c r="I710" s="231">
        <f t="shared" si="21"/>
        <v>0</v>
      </c>
    </row>
    <row r="711" spans="1:9" s="7" customFormat="1" hidden="1">
      <c r="A711" s="1554"/>
      <c r="B711" s="371"/>
      <c r="C711" s="850"/>
      <c r="D711" s="850"/>
      <c r="E711" s="850"/>
      <c r="F711" s="232"/>
      <c r="G711" s="232"/>
      <c r="H711" s="231">
        <f t="shared" si="20"/>
        <v>0</v>
      </c>
      <c r="I711" s="231">
        <f t="shared" si="21"/>
        <v>0</v>
      </c>
    </row>
    <row r="712" spans="1:9" s="7" customFormat="1" hidden="1">
      <c r="A712" s="1554"/>
      <c r="B712" s="821"/>
      <c r="C712" s="852"/>
      <c r="D712" s="852"/>
      <c r="E712" s="852"/>
      <c r="F712" s="232"/>
      <c r="G712" s="232"/>
      <c r="H712" s="231">
        <f t="shared" si="20"/>
        <v>0</v>
      </c>
      <c r="I712" s="231">
        <f t="shared" si="21"/>
        <v>0</v>
      </c>
    </row>
    <row r="713" spans="1:9" s="7" customFormat="1" hidden="1">
      <c r="A713" s="1554"/>
      <c r="B713" s="385"/>
      <c r="C713" s="638"/>
      <c r="D713" s="638"/>
      <c r="E713" s="639"/>
      <c r="F713" s="232"/>
      <c r="G713" s="232"/>
      <c r="H713" s="231">
        <f t="shared" ref="H713:H776" si="22">E713+D713-C713</f>
        <v>0</v>
      </c>
      <c r="I713" s="231">
        <f t="shared" ref="I713:I776" si="23">SUM(C713:E713)</f>
        <v>0</v>
      </c>
    </row>
    <row r="714" spans="1:9" s="7" customFormat="1" hidden="1">
      <c r="A714" s="1554"/>
      <c r="B714" s="385"/>
      <c r="C714" s="638"/>
      <c r="D714" s="638"/>
      <c r="E714" s="639"/>
      <c r="F714" s="232"/>
      <c r="G714" s="232"/>
      <c r="H714" s="231">
        <f t="shared" si="22"/>
        <v>0</v>
      </c>
      <c r="I714" s="231">
        <f t="shared" si="23"/>
        <v>0</v>
      </c>
    </row>
    <row r="715" spans="1:9" s="7" customFormat="1" hidden="1">
      <c r="A715" s="1554"/>
      <c r="B715" s="402"/>
      <c r="C715" s="672"/>
      <c r="D715" s="652"/>
      <c r="E715" s="653"/>
      <c r="F715" s="232"/>
      <c r="G715" s="232"/>
      <c r="H715" s="231">
        <f t="shared" si="22"/>
        <v>0</v>
      </c>
      <c r="I715" s="231">
        <f t="shared" si="23"/>
        <v>0</v>
      </c>
    </row>
    <row r="716" spans="1:9" s="7" customFormat="1" hidden="1">
      <c r="A716" s="1554"/>
      <c r="B716" s="402"/>
      <c r="C716" s="651"/>
      <c r="D716" s="652"/>
      <c r="E716" s="653"/>
      <c r="F716" s="232"/>
      <c r="G716" s="232"/>
      <c r="H716" s="231">
        <f t="shared" si="22"/>
        <v>0</v>
      </c>
      <c r="I716" s="231">
        <f t="shared" si="23"/>
        <v>0</v>
      </c>
    </row>
    <row r="717" spans="1:9" s="7" customFormat="1" hidden="1">
      <c r="A717" s="1554"/>
      <c r="B717" s="402"/>
      <c r="C717" s="651"/>
      <c r="D717" s="652"/>
      <c r="E717" s="653"/>
      <c r="F717" s="232"/>
      <c r="G717" s="232"/>
      <c r="H717" s="231">
        <f t="shared" si="22"/>
        <v>0</v>
      </c>
      <c r="I717" s="231">
        <f t="shared" si="23"/>
        <v>0</v>
      </c>
    </row>
    <row r="718" spans="1:9" s="7" customFormat="1" ht="18" hidden="1" customHeight="1">
      <c r="A718" s="1554"/>
      <c r="B718" s="181"/>
      <c r="C718" s="654"/>
      <c r="D718" s="654"/>
      <c r="E718" s="655"/>
      <c r="F718" s="232"/>
      <c r="G718" s="232"/>
      <c r="H718" s="231">
        <f t="shared" si="22"/>
        <v>0</v>
      </c>
      <c r="I718" s="231">
        <f t="shared" si="23"/>
        <v>0</v>
      </c>
    </row>
    <row r="719" spans="1:9" s="7" customFormat="1" ht="18" hidden="1" customHeight="1">
      <c r="A719" s="1554"/>
      <c r="B719" s="181"/>
      <c r="C719" s="654"/>
      <c r="D719" s="654"/>
      <c r="E719" s="655"/>
      <c r="F719" s="232"/>
      <c r="G719" s="232"/>
      <c r="H719" s="231">
        <f t="shared" si="22"/>
        <v>0</v>
      </c>
      <c r="I719" s="231">
        <f t="shared" si="23"/>
        <v>0</v>
      </c>
    </row>
    <row r="720" spans="1:9" s="7" customFormat="1" ht="18" hidden="1" customHeight="1">
      <c r="A720" s="1554"/>
      <c r="B720" s="181"/>
      <c r="C720" s="654"/>
      <c r="D720" s="654"/>
      <c r="E720" s="655"/>
      <c r="F720" s="232"/>
      <c r="G720" s="232"/>
      <c r="H720" s="231">
        <f t="shared" si="22"/>
        <v>0</v>
      </c>
      <c r="I720" s="231">
        <f t="shared" si="23"/>
        <v>0</v>
      </c>
    </row>
    <row r="721" spans="1:12" s="7" customFormat="1" ht="18" hidden="1" customHeight="1">
      <c r="A721" s="1554"/>
      <c r="B721" s="102"/>
      <c r="C721" s="256"/>
      <c r="D721" s="654"/>
      <c r="E721" s="256"/>
      <c r="F721" s="232"/>
      <c r="G721" s="232"/>
      <c r="H721" s="231">
        <f t="shared" si="22"/>
        <v>0</v>
      </c>
      <c r="I721" s="231">
        <f t="shared" si="23"/>
        <v>0</v>
      </c>
    </row>
    <row r="722" spans="1:12" s="7" customFormat="1" ht="18" hidden="1" customHeight="1">
      <c r="A722" s="1554"/>
      <c r="B722" s="102"/>
      <c r="C722" s="256"/>
      <c r="D722" s="654"/>
      <c r="E722" s="256"/>
      <c r="F722" s="232"/>
      <c r="G722" s="232"/>
      <c r="H722" s="231">
        <f t="shared" si="22"/>
        <v>0</v>
      </c>
      <c r="I722" s="231">
        <f t="shared" si="23"/>
        <v>0</v>
      </c>
    </row>
    <row r="723" spans="1:12" s="7" customFormat="1" ht="18" hidden="1" customHeight="1">
      <c r="A723" s="1554"/>
      <c r="B723" s="270"/>
      <c r="C723" s="657"/>
      <c r="D723" s="656"/>
      <c r="E723" s="657"/>
      <c r="F723" s="232"/>
      <c r="G723" s="232"/>
      <c r="H723" s="231">
        <f t="shared" si="22"/>
        <v>0</v>
      </c>
      <c r="I723" s="231">
        <f t="shared" si="23"/>
        <v>0</v>
      </c>
    </row>
    <row r="724" spans="1:12">
      <c r="A724" s="1566"/>
      <c r="B724" s="209" t="s">
        <v>985</v>
      </c>
      <c r="C724" s="581">
        <f>SUM(C676:C723)</f>
        <v>657709</v>
      </c>
      <c r="D724" s="581">
        <f>SUM(D676:D723)</f>
        <v>477709</v>
      </c>
      <c r="E724" s="581">
        <f>SUM(E676:E723)</f>
        <v>180000</v>
      </c>
      <c r="F724" s="263">
        <f>SUM(F676:F687)</f>
        <v>0</v>
      </c>
      <c r="G724" s="236">
        <f>SUM(G676:G687)</f>
        <v>0</v>
      </c>
      <c r="H724" s="1497">
        <f t="shared" si="22"/>
        <v>0</v>
      </c>
      <c r="I724" s="1497">
        <f t="shared" si="23"/>
        <v>1315418</v>
      </c>
      <c r="J724" s="1440"/>
      <c r="K724" s="1490"/>
      <c r="L724" s="1490"/>
    </row>
    <row r="725" spans="1:12" ht="75">
      <c r="A725" s="1566" t="s">
        <v>1146</v>
      </c>
      <c r="B725" s="181" t="s">
        <v>772</v>
      </c>
      <c r="C725" s="589">
        <v>239200</v>
      </c>
      <c r="D725" s="589">
        <v>239200</v>
      </c>
      <c r="E725" s="589"/>
      <c r="F725" s="237"/>
      <c r="G725" s="237"/>
      <c r="H725" s="1497">
        <f t="shared" si="22"/>
        <v>0</v>
      </c>
      <c r="I725" s="1497">
        <f t="shared" si="23"/>
        <v>478400</v>
      </c>
      <c r="J725" s="1440"/>
      <c r="K725" s="1490"/>
      <c r="L725" s="1490"/>
    </row>
    <row r="726" spans="1:12" ht="37.5">
      <c r="A726" s="1566"/>
      <c r="B726" s="369" t="s">
        <v>1273</v>
      </c>
      <c r="C726" s="589">
        <v>132243</v>
      </c>
      <c r="D726" s="589">
        <v>132243</v>
      </c>
      <c r="E726" s="510"/>
      <c r="F726" s="232"/>
      <c r="G726" s="232"/>
      <c r="H726" s="1497">
        <f t="shared" si="22"/>
        <v>0</v>
      </c>
      <c r="I726" s="1497">
        <f t="shared" si="23"/>
        <v>264486</v>
      </c>
      <c r="J726" s="1440"/>
      <c r="K726" s="1490"/>
      <c r="L726" s="1490"/>
    </row>
    <row r="727" spans="1:12" s="93" customFormat="1" hidden="1">
      <c r="A727" s="1566"/>
      <c r="B727" s="181"/>
      <c r="C727" s="654"/>
      <c r="D727" s="654"/>
      <c r="E727" s="654"/>
      <c r="F727" s="239"/>
      <c r="G727" s="239"/>
      <c r="H727" s="231">
        <f t="shared" si="22"/>
        <v>0</v>
      </c>
      <c r="I727" s="231">
        <f t="shared" si="23"/>
        <v>0</v>
      </c>
    </row>
    <row r="728" spans="1:12" s="93" customFormat="1" hidden="1">
      <c r="A728" s="1566"/>
      <c r="B728" s="181"/>
      <c r="C728" s="654"/>
      <c r="D728" s="654"/>
      <c r="E728" s="654"/>
      <c r="F728" s="239"/>
      <c r="G728" s="239"/>
      <c r="H728" s="231">
        <f t="shared" si="22"/>
        <v>0</v>
      </c>
      <c r="I728" s="231">
        <f t="shared" si="23"/>
        <v>0</v>
      </c>
    </row>
    <row r="729" spans="1:12" hidden="1">
      <c r="A729" s="1566"/>
      <c r="B729" s="181"/>
      <c r="C729" s="654"/>
      <c r="D729" s="654"/>
      <c r="E729" s="654"/>
      <c r="F729" s="232"/>
      <c r="G729" s="232"/>
      <c r="H729" s="231">
        <f t="shared" si="22"/>
        <v>0</v>
      </c>
      <c r="I729" s="231">
        <f t="shared" si="23"/>
        <v>0</v>
      </c>
    </row>
    <row r="730" spans="1:12" hidden="1">
      <c r="A730" s="1566"/>
      <c r="B730" s="212"/>
      <c r="C730" s="688"/>
      <c r="D730" s="654"/>
      <c r="E730" s="655"/>
      <c r="F730" s="232"/>
      <c r="G730" s="232"/>
      <c r="H730" s="231">
        <f t="shared" si="22"/>
        <v>0</v>
      </c>
      <c r="I730" s="231">
        <f t="shared" si="23"/>
        <v>0</v>
      </c>
    </row>
    <row r="731" spans="1:12" hidden="1">
      <c r="A731" s="1566"/>
      <c r="B731" s="212"/>
      <c r="C731" s="654"/>
      <c r="D731" s="654"/>
      <c r="E731" s="655"/>
      <c r="F731" s="232"/>
      <c r="G731" s="232"/>
      <c r="H731" s="231">
        <f t="shared" si="22"/>
        <v>0</v>
      </c>
      <c r="I731" s="231">
        <f t="shared" si="23"/>
        <v>0</v>
      </c>
    </row>
    <row r="732" spans="1:12" s="7" customFormat="1" hidden="1">
      <c r="A732" s="1558"/>
      <c r="B732" s="107"/>
      <c r="C732" s="255"/>
      <c r="D732" s="255"/>
      <c r="E732" s="255"/>
      <c r="F732" s="232"/>
      <c r="G732" s="232"/>
      <c r="H732" s="231">
        <f t="shared" si="22"/>
        <v>0</v>
      </c>
      <c r="I732" s="231">
        <f t="shared" si="23"/>
        <v>0</v>
      </c>
    </row>
    <row r="733" spans="1:12" s="7" customFormat="1" hidden="1">
      <c r="A733" s="1558"/>
      <c r="B733" s="107"/>
      <c r="C733" s="654"/>
      <c r="D733" s="654"/>
      <c r="E733" s="654"/>
      <c r="F733" s="232"/>
      <c r="G733" s="232"/>
      <c r="H733" s="231">
        <f t="shared" si="22"/>
        <v>0</v>
      </c>
      <c r="I733" s="231">
        <f t="shared" si="23"/>
        <v>0</v>
      </c>
    </row>
    <row r="734" spans="1:12" s="7" customFormat="1" hidden="1">
      <c r="A734" s="1558"/>
      <c r="B734" s="107"/>
      <c r="C734" s="654"/>
      <c r="D734" s="654"/>
      <c r="E734" s="256"/>
      <c r="F734" s="232"/>
      <c r="G734" s="232"/>
      <c r="H734" s="231">
        <f t="shared" si="22"/>
        <v>0</v>
      </c>
      <c r="I734" s="231">
        <f t="shared" si="23"/>
        <v>0</v>
      </c>
    </row>
    <row r="735" spans="1:12" s="7" customFormat="1" hidden="1">
      <c r="A735" s="1558"/>
      <c r="B735" s="107"/>
      <c r="C735" s="255"/>
      <c r="D735" s="256"/>
      <c r="E735" s="256"/>
      <c r="F735" s="232"/>
      <c r="G735" s="232"/>
      <c r="H735" s="231">
        <f t="shared" si="22"/>
        <v>0</v>
      </c>
      <c r="I735" s="231">
        <f t="shared" si="23"/>
        <v>0</v>
      </c>
    </row>
    <row r="736" spans="1:12" s="7" customFormat="1" hidden="1">
      <c r="A736" s="1558"/>
      <c r="B736" s="107"/>
      <c r="C736" s="255"/>
      <c r="D736" s="256"/>
      <c r="E736" s="256"/>
      <c r="F736" s="232"/>
      <c r="G736" s="232"/>
      <c r="H736" s="231">
        <f t="shared" si="22"/>
        <v>0</v>
      </c>
      <c r="I736" s="231">
        <f t="shared" si="23"/>
        <v>0</v>
      </c>
    </row>
    <row r="737" spans="1:9" s="7" customFormat="1" hidden="1">
      <c r="A737" s="1558"/>
      <c r="B737" s="107"/>
      <c r="C737" s="654"/>
      <c r="D737" s="654"/>
      <c r="E737" s="655"/>
      <c r="F737" s="232"/>
      <c r="G737" s="232"/>
      <c r="H737" s="231">
        <f t="shared" si="22"/>
        <v>0</v>
      </c>
      <c r="I737" s="231">
        <f t="shared" si="23"/>
        <v>0</v>
      </c>
    </row>
    <row r="738" spans="1:9" s="7" customFormat="1" ht="18" hidden="1" customHeight="1">
      <c r="A738" s="1554"/>
      <c r="B738" s="273"/>
      <c r="C738" s="682"/>
      <c r="D738" s="682"/>
      <c r="E738" s="689"/>
      <c r="F738" s="232"/>
      <c r="G738" s="232"/>
      <c r="H738" s="231">
        <f t="shared" si="22"/>
        <v>0</v>
      </c>
      <c r="I738" s="231">
        <f t="shared" si="23"/>
        <v>0</v>
      </c>
    </row>
    <row r="739" spans="1:9" s="7" customFormat="1" ht="18" hidden="1" customHeight="1">
      <c r="A739" s="1554"/>
      <c r="B739" s="107"/>
      <c r="C739" s="255"/>
      <c r="D739" s="255"/>
      <c r="E739" s="255"/>
      <c r="F739" s="232"/>
      <c r="G739" s="232"/>
      <c r="H739" s="231">
        <f t="shared" si="22"/>
        <v>0</v>
      </c>
      <c r="I739" s="231">
        <f t="shared" si="23"/>
        <v>0</v>
      </c>
    </row>
    <row r="740" spans="1:9" s="7" customFormat="1" ht="18" hidden="1" customHeight="1">
      <c r="A740" s="1554"/>
      <c r="B740" s="181"/>
      <c r="C740" s="654"/>
      <c r="D740" s="654"/>
      <c r="E740" s="655"/>
      <c r="F740" s="232"/>
      <c r="G740" s="232"/>
      <c r="H740" s="231">
        <f t="shared" si="22"/>
        <v>0</v>
      </c>
      <c r="I740" s="231">
        <f t="shared" si="23"/>
        <v>0</v>
      </c>
    </row>
    <row r="741" spans="1:9" s="7" customFormat="1" ht="18" hidden="1" customHeight="1">
      <c r="A741" s="1554"/>
      <c r="B741" s="107"/>
      <c r="C741" s="654"/>
      <c r="D741" s="654"/>
      <c r="E741" s="256"/>
      <c r="F741" s="232"/>
      <c r="G741" s="232"/>
      <c r="H741" s="231">
        <f t="shared" si="22"/>
        <v>0</v>
      </c>
      <c r="I741" s="231">
        <f t="shared" si="23"/>
        <v>0</v>
      </c>
    </row>
    <row r="742" spans="1:9" s="7" customFormat="1" ht="18" hidden="1" customHeight="1">
      <c r="A742" s="1554"/>
      <c r="B742" s="107"/>
      <c r="C742" s="654"/>
      <c r="D742" s="654"/>
      <c r="E742" s="256"/>
      <c r="F742" s="232"/>
      <c r="G742" s="232"/>
      <c r="H742" s="231">
        <f t="shared" si="22"/>
        <v>0</v>
      </c>
      <c r="I742" s="231">
        <f t="shared" si="23"/>
        <v>0</v>
      </c>
    </row>
    <row r="743" spans="1:9" s="7" customFormat="1" ht="18" hidden="1" customHeight="1">
      <c r="A743" s="1554"/>
      <c r="B743" s="107"/>
      <c r="C743" s="654"/>
      <c r="D743" s="654"/>
      <c r="E743" s="256"/>
      <c r="F743" s="232"/>
      <c r="G743" s="232"/>
      <c r="H743" s="231">
        <f t="shared" si="22"/>
        <v>0</v>
      </c>
      <c r="I743" s="231">
        <f t="shared" si="23"/>
        <v>0</v>
      </c>
    </row>
    <row r="744" spans="1:9" s="7" customFormat="1" ht="18" hidden="1" customHeight="1">
      <c r="A744" s="1554"/>
      <c r="B744" s="107"/>
      <c r="C744" s="654"/>
      <c r="D744" s="654"/>
      <c r="E744" s="256"/>
      <c r="F744" s="232"/>
      <c r="G744" s="232"/>
      <c r="H744" s="231">
        <f t="shared" si="22"/>
        <v>0</v>
      </c>
      <c r="I744" s="231">
        <f t="shared" si="23"/>
        <v>0</v>
      </c>
    </row>
    <row r="745" spans="1:9" s="7" customFormat="1" ht="18" hidden="1" customHeight="1">
      <c r="A745" s="1554"/>
      <c r="B745" s="107"/>
      <c r="C745" s="654"/>
      <c r="D745" s="654"/>
      <c r="E745" s="256"/>
      <c r="F745" s="232"/>
      <c r="G745" s="232"/>
      <c r="H745" s="231">
        <f t="shared" si="22"/>
        <v>0</v>
      </c>
      <c r="I745" s="231">
        <f t="shared" si="23"/>
        <v>0</v>
      </c>
    </row>
    <row r="746" spans="1:9" s="7" customFormat="1" ht="18" hidden="1" customHeight="1">
      <c r="A746" s="1554"/>
      <c r="B746" s="107"/>
      <c r="C746" s="654"/>
      <c r="D746" s="654"/>
      <c r="E746" s="256"/>
      <c r="F746" s="232"/>
      <c r="G746" s="232"/>
      <c r="H746" s="231">
        <f t="shared" si="22"/>
        <v>0</v>
      </c>
      <c r="I746" s="231">
        <f t="shared" si="23"/>
        <v>0</v>
      </c>
    </row>
    <row r="747" spans="1:9" s="7" customFormat="1" ht="18" hidden="1" customHeight="1">
      <c r="A747" s="1554"/>
      <c r="B747" s="107"/>
      <c r="C747" s="654"/>
      <c r="D747" s="654"/>
      <c r="E747" s="256"/>
      <c r="F747" s="232"/>
      <c r="G747" s="232"/>
      <c r="H747" s="231">
        <f t="shared" si="22"/>
        <v>0</v>
      </c>
      <c r="I747" s="231">
        <f t="shared" si="23"/>
        <v>0</v>
      </c>
    </row>
    <row r="748" spans="1:9" s="7" customFormat="1" ht="18" hidden="1" customHeight="1">
      <c r="A748" s="1554"/>
      <c r="B748" s="107"/>
      <c r="C748" s="654"/>
      <c r="D748" s="654"/>
      <c r="E748" s="256"/>
      <c r="F748" s="232"/>
      <c r="G748" s="232"/>
      <c r="H748" s="231">
        <f t="shared" si="22"/>
        <v>0</v>
      </c>
      <c r="I748" s="231">
        <f t="shared" si="23"/>
        <v>0</v>
      </c>
    </row>
    <row r="749" spans="1:9" s="7" customFormat="1" ht="18" hidden="1" customHeight="1">
      <c r="A749" s="1554"/>
      <c r="B749" s="107"/>
      <c r="C749" s="654"/>
      <c r="D749" s="654"/>
      <c r="E749" s="256"/>
      <c r="F749" s="232"/>
      <c r="G749" s="232"/>
      <c r="H749" s="231">
        <f t="shared" si="22"/>
        <v>0</v>
      </c>
      <c r="I749" s="231">
        <f t="shared" si="23"/>
        <v>0</v>
      </c>
    </row>
    <row r="750" spans="1:9" s="7" customFormat="1" ht="18" hidden="1" customHeight="1">
      <c r="A750" s="1554"/>
      <c r="B750" s="107"/>
      <c r="C750" s="654"/>
      <c r="D750" s="654"/>
      <c r="E750" s="256"/>
      <c r="F750" s="232"/>
      <c r="G750" s="232"/>
      <c r="H750" s="231">
        <f t="shared" si="22"/>
        <v>0</v>
      </c>
      <c r="I750" s="231">
        <f t="shared" si="23"/>
        <v>0</v>
      </c>
    </row>
    <row r="751" spans="1:9" s="7" customFormat="1" ht="18" hidden="1" customHeight="1">
      <c r="A751" s="1554"/>
      <c r="B751" s="107"/>
      <c r="C751" s="654"/>
      <c r="D751" s="654"/>
      <c r="E751" s="256"/>
      <c r="F751" s="232"/>
      <c r="G751" s="232"/>
      <c r="H751" s="231">
        <f t="shared" si="22"/>
        <v>0</v>
      </c>
      <c r="I751" s="231">
        <f t="shared" si="23"/>
        <v>0</v>
      </c>
    </row>
    <row r="752" spans="1:9" s="7" customFormat="1" ht="18" hidden="1" customHeight="1">
      <c r="A752" s="1554"/>
      <c r="B752" s="107"/>
      <c r="C752" s="654"/>
      <c r="D752" s="654"/>
      <c r="E752" s="256"/>
      <c r="F752" s="232"/>
      <c r="G752" s="232"/>
      <c r="H752" s="231">
        <f t="shared" si="22"/>
        <v>0</v>
      </c>
      <c r="I752" s="231">
        <f t="shared" si="23"/>
        <v>0</v>
      </c>
    </row>
    <row r="753" spans="1:12" s="7" customFormat="1" ht="18" hidden="1" customHeight="1">
      <c r="A753" s="1554"/>
      <c r="B753" s="107"/>
      <c r="C753" s="654"/>
      <c r="D753" s="654"/>
      <c r="E753" s="256"/>
      <c r="F753" s="232"/>
      <c r="G753" s="232"/>
      <c r="H753" s="231">
        <f t="shared" si="22"/>
        <v>0</v>
      </c>
      <c r="I753" s="231">
        <f t="shared" si="23"/>
        <v>0</v>
      </c>
    </row>
    <row r="754" spans="1:12" s="7" customFormat="1" ht="18" hidden="1" customHeight="1">
      <c r="A754" s="1554"/>
      <c r="B754" s="107"/>
      <c r="C754" s="654"/>
      <c r="D754" s="654"/>
      <c r="E754" s="256"/>
      <c r="F754" s="232"/>
      <c r="G754" s="232"/>
      <c r="H754" s="231">
        <f t="shared" si="22"/>
        <v>0</v>
      </c>
      <c r="I754" s="231">
        <f t="shared" si="23"/>
        <v>0</v>
      </c>
    </row>
    <row r="755" spans="1:12" s="7" customFormat="1" ht="18" hidden="1" customHeight="1">
      <c r="A755" s="1554"/>
      <c r="B755" s="107"/>
      <c r="C755" s="654"/>
      <c r="D755" s="654"/>
      <c r="E755" s="256"/>
      <c r="F755" s="232"/>
      <c r="G755" s="232"/>
      <c r="H755" s="231">
        <f t="shared" si="22"/>
        <v>0</v>
      </c>
      <c r="I755" s="231">
        <f t="shared" si="23"/>
        <v>0</v>
      </c>
    </row>
    <row r="756" spans="1:12" s="7" customFormat="1" ht="18" hidden="1" customHeight="1">
      <c r="A756" s="1554"/>
      <c r="B756" s="107"/>
      <c r="C756" s="654"/>
      <c r="D756" s="654"/>
      <c r="E756" s="256"/>
      <c r="F756" s="232"/>
      <c r="G756" s="232"/>
      <c r="H756" s="231">
        <f t="shared" si="22"/>
        <v>0</v>
      </c>
      <c r="I756" s="231">
        <f t="shared" si="23"/>
        <v>0</v>
      </c>
    </row>
    <row r="757" spans="1:12" s="7" customFormat="1" ht="18" hidden="1" customHeight="1">
      <c r="A757" s="1554"/>
      <c r="B757" s="107"/>
      <c r="C757" s="654"/>
      <c r="D757" s="654"/>
      <c r="E757" s="256"/>
      <c r="F757" s="232"/>
      <c r="G757" s="232"/>
      <c r="H757" s="231">
        <f t="shared" si="22"/>
        <v>0</v>
      </c>
      <c r="I757" s="231">
        <f t="shared" si="23"/>
        <v>0</v>
      </c>
    </row>
    <row r="758" spans="1:12" s="7" customFormat="1" ht="18" hidden="1" customHeight="1">
      <c r="A758" s="1554"/>
      <c r="B758" s="107"/>
      <c r="C758" s="654"/>
      <c r="D758" s="654"/>
      <c r="E758" s="256"/>
      <c r="F758" s="232"/>
      <c r="G758" s="232"/>
      <c r="H758" s="231">
        <f t="shared" si="22"/>
        <v>0</v>
      </c>
      <c r="I758" s="231">
        <f t="shared" si="23"/>
        <v>0</v>
      </c>
    </row>
    <row r="759" spans="1:12" s="7" customFormat="1" ht="18" hidden="1" customHeight="1">
      <c r="A759" s="1554"/>
      <c r="B759" s="107"/>
      <c r="C759" s="654"/>
      <c r="D759" s="654"/>
      <c r="E759" s="256"/>
      <c r="F759" s="232"/>
      <c r="G759" s="232"/>
      <c r="H759" s="231">
        <f t="shared" si="22"/>
        <v>0</v>
      </c>
      <c r="I759" s="231">
        <f t="shared" si="23"/>
        <v>0</v>
      </c>
    </row>
    <row r="760" spans="1:12" s="7" customFormat="1" ht="18" hidden="1" customHeight="1">
      <c r="A760" s="1554"/>
      <c r="B760" s="107"/>
      <c r="C760" s="654"/>
      <c r="D760" s="654"/>
      <c r="E760" s="256"/>
      <c r="F760" s="232"/>
      <c r="G760" s="232"/>
      <c r="H760" s="231">
        <f t="shared" si="22"/>
        <v>0</v>
      </c>
      <c r="I760" s="231">
        <f t="shared" si="23"/>
        <v>0</v>
      </c>
    </row>
    <row r="761" spans="1:12" s="7" customFormat="1" ht="18" hidden="1" customHeight="1">
      <c r="A761" s="1554"/>
      <c r="B761" s="107"/>
      <c r="C761" s="654"/>
      <c r="D761" s="654"/>
      <c r="E761" s="256"/>
      <c r="F761" s="232"/>
      <c r="G761" s="232"/>
      <c r="H761" s="231">
        <f t="shared" si="22"/>
        <v>0</v>
      </c>
      <c r="I761" s="231">
        <f t="shared" si="23"/>
        <v>0</v>
      </c>
    </row>
    <row r="762" spans="1:12" s="7" customFormat="1" ht="18" hidden="1" customHeight="1">
      <c r="A762" s="1554"/>
      <c r="B762" s="107"/>
      <c r="C762" s="654"/>
      <c r="D762" s="654"/>
      <c r="E762" s="256"/>
      <c r="F762" s="232"/>
      <c r="G762" s="232"/>
      <c r="H762" s="231">
        <f t="shared" si="22"/>
        <v>0</v>
      </c>
      <c r="I762" s="231">
        <f t="shared" si="23"/>
        <v>0</v>
      </c>
    </row>
    <row r="763" spans="1:12" s="7" customFormat="1" ht="18" hidden="1" customHeight="1">
      <c r="A763" s="1554"/>
      <c r="B763" s="107"/>
      <c r="C763" s="654"/>
      <c r="D763" s="654"/>
      <c r="E763" s="256"/>
      <c r="F763" s="232"/>
      <c r="G763" s="232"/>
      <c r="H763" s="231">
        <f t="shared" si="22"/>
        <v>0</v>
      </c>
      <c r="I763" s="231">
        <f t="shared" si="23"/>
        <v>0</v>
      </c>
    </row>
    <row r="764" spans="1:12" s="7" customFormat="1" ht="18" hidden="1" customHeight="1">
      <c r="A764" s="1554"/>
      <c r="B764" s="268"/>
      <c r="C764" s="656"/>
      <c r="D764" s="656"/>
      <c r="E764" s="657"/>
      <c r="F764" s="232"/>
      <c r="G764" s="232"/>
      <c r="H764" s="231">
        <f t="shared" si="22"/>
        <v>0</v>
      </c>
      <c r="I764" s="231">
        <f t="shared" si="23"/>
        <v>0</v>
      </c>
    </row>
    <row r="765" spans="1:12">
      <c r="A765" s="1566"/>
      <c r="B765" s="209" t="s">
        <v>985</v>
      </c>
      <c r="C765" s="581">
        <f>SUM(C725:C764)</f>
        <v>371443</v>
      </c>
      <c r="D765" s="581">
        <f>SUM(D725:D764)</f>
        <v>371443</v>
      </c>
      <c r="E765" s="581">
        <f>SUM(E725:E764)</f>
        <v>0</v>
      </c>
      <c r="F765" s="263">
        <f>SUM(F725:F726)</f>
        <v>0</v>
      </c>
      <c r="G765" s="236">
        <f>SUM(G725:G726)</f>
        <v>0</v>
      </c>
      <c r="H765" s="1497">
        <f t="shared" si="22"/>
        <v>0</v>
      </c>
      <c r="I765" s="1497">
        <f t="shared" si="23"/>
        <v>742886</v>
      </c>
      <c r="J765" s="1440"/>
      <c r="K765" s="1490"/>
      <c r="L765" s="1490"/>
    </row>
    <row r="766" spans="1:12" ht="75">
      <c r="A766" s="1566" t="s">
        <v>1147</v>
      </c>
      <c r="B766" s="181" t="s">
        <v>772</v>
      </c>
      <c r="C766" s="589">
        <v>87500</v>
      </c>
      <c r="D766" s="589">
        <v>87500</v>
      </c>
      <c r="E766" s="690"/>
      <c r="F766" s="237"/>
      <c r="G766" s="237"/>
      <c r="H766" s="1497">
        <f t="shared" si="22"/>
        <v>0</v>
      </c>
      <c r="I766" s="1497">
        <f t="shared" si="23"/>
        <v>175000</v>
      </c>
      <c r="J766" s="1440"/>
      <c r="K766" s="1490"/>
      <c r="L766" s="1490"/>
    </row>
    <row r="767" spans="1:12" ht="37.5">
      <c r="A767" s="1566"/>
      <c r="B767" s="369" t="s">
        <v>1273</v>
      </c>
      <c r="C767" s="589">
        <v>315150</v>
      </c>
      <c r="D767" s="589">
        <v>315150</v>
      </c>
      <c r="E767" s="510"/>
      <c r="F767" s="237"/>
      <c r="G767" s="237"/>
      <c r="H767" s="1497">
        <f t="shared" si="22"/>
        <v>0</v>
      </c>
      <c r="I767" s="1497">
        <f t="shared" si="23"/>
        <v>630300</v>
      </c>
      <c r="J767" s="1440"/>
      <c r="K767" s="1490"/>
      <c r="L767" s="1490"/>
    </row>
    <row r="768" spans="1:12" ht="37.5">
      <c r="A768" s="1566"/>
      <c r="B768" s="107" t="s">
        <v>1556</v>
      </c>
      <c r="C768" s="817">
        <v>30000</v>
      </c>
      <c r="D768" s="817">
        <v>30000</v>
      </c>
      <c r="E768" s="184"/>
      <c r="F768" s="232"/>
      <c r="G768" s="232"/>
      <c r="H768" s="1497">
        <f t="shared" si="22"/>
        <v>0</v>
      </c>
      <c r="I768" s="1497">
        <f t="shared" si="23"/>
        <v>60000</v>
      </c>
      <c r="J768" s="1440"/>
      <c r="K768" s="1490"/>
      <c r="L768" s="1490"/>
    </row>
    <row r="769" spans="1:9" hidden="1">
      <c r="A769" s="1566"/>
      <c r="B769" s="107"/>
      <c r="C769" s="589"/>
      <c r="D769" s="589"/>
      <c r="E769" s="510"/>
      <c r="F769" s="232"/>
      <c r="G769" s="232"/>
      <c r="H769" s="231">
        <f t="shared" si="22"/>
        <v>0</v>
      </c>
      <c r="I769" s="231">
        <f t="shared" si="23"/>
        <v>0</v>
      </c>
    </row>
    <row r="770" spans="1:9" hidden="1">
      <c r="A770" s="1566"/>
      <c r="B770" s="107"/>
      <c r="C770" s="589"/>
      <c r="D770" s="589"/>
      <c r="E770" s="510"/>
      <c r="F770" s="232"/>
      <c r="G770" s="232"/>
      <c r="H770" s="231">
        <f t="shared" si="22"/>
        <v>0</v>
      </c>
      <c r="I770" s="231">
        <f t="shared" si="23"/>
        <v>0</v>
      </c>
    </row>
    <row r="771" spans="1:9" hidden="1">
      <c r="A771" s="1566"/>
      <c r="B771" s="107"/>
      <c r="C771" s="589"/>
      <c r="D771" s="589"/>
      <c r="E771" s="510"/>
      <c r="F771" s="232"/>
      <c r="G771" s="232"/>
      <c r="H771" s="231">
        <f t="shared" si="22"/>
        <v>0</v>
      </c>
      <c r="I771" s="231">
        <f t="shared" si="23"/>
        <v>0</v>
      </c>
    </row>
    <row r="772" spans="1:9" hidden="1">
      <c r="A772" s="1566"/>
      <c r="B772" s="107"/>
      <c r="C772" s="649"/>
      <c r="D772" s="691"/>
      <c r="E772" s="691"/>
      <c r="F772" s="232"/>
      <c r="G772" s="232"/>
      <c r="H772" s="231">
        <f t="shared" si="22"/>
        <v>0</v>
      </c>
      <c r="I772" s="231">
        <f t="shared" si="23"/>
        <v>0</v>
      </c>
    </row>
    <row r="773" spans="1:9" hidden="1">
      <c r="A773" s="1566"/>
      <c r="B773" s="107"/>
      <c r="C773" s="256"/>
      <c r="D773" s="256"/>
      <c r="E773" s="256"/>
      <c r="F773" s="232"/>
      <c r="G773" s="232"/>
      <c r="H773" s="231">
        <f t="shared" si="22"/>
        <v>0</v>
      </c>
      <c r="I773" s="231">
        <f t="shared" si="23"/>
        <v>0</v>
      </c>
    </row>
    <row r="774" spans="1:9" hidden="1">
      <c r="A774" s="1566"/>
      <c r="B774" s="107"/>
      <c r="C774" s="649"/>
      <c r="D774" s="649"/>
      <c r="E774" s="256"/>
      <c r="F774" s="232"/>
      <c r="G774" s="232"/>
      <c r="H774" s="231">
        <f t="shared" si="22"/>
        <v>0</v>
      </c>
      <c r="I774" s="231">
        <f t="shared" si="23"/>
        <v>0</v>
      </c>
    </row>
    <row r="775" spans="1:9" hidden="1">
      <c r="A775" s="1566"/>
      <c r="B775" s="385"/>
      <c r="C775" s="638"/>
      <c r="D775" s="638"/>
      <c r="E775" s="639"/>
      <c r="F775" s="232"/>
      <c r="G775" s="232"/>
      <c r="H775" s="231">
        <f t="shared" si="22"/>
        <v>0</v>
      </c>
      <c r="I775" s="231">
        <f t="shared" si="23"/>
        <v>0</v>
      </c>
    </row>
    <row r="776" spans="1:9" hidden="1">
      <c r="A776" s="1566"/>
      <c r="B776" s="385"/>
      <c r="C776" s="638"/>
      <c r="D776" s="638"/>
      <c r="E776" s="639"/>
      <c r="F776" s="232"/>
      <c r="G776" s="232"/>
      <c r="H776" s="231">
        <f t="shared" si="22"/>
        <v>0</v>
      </c>
      <c r="I776" s="231">
        <f t="shared" si="23"/>
        <v>0</v>
      </c>
    </row>
    <row r="777" spans="1:9" hidden="1">
      <c r="A777" s="1566"/>
      <c r="B777" s="385"/>
      <c r="C777" s="638"/>
      <c r="D777" s="638"/>
      <c r="E777" s="639"/>
      <c r="F777" s="232"/>
      <c r="G777" s="232"/>
      <c r="H777" s="231">
        <f t="shared" ref="H777:H840" si="24">E777+D777-C777</f>
        <v>0</v>
      </c>
      <c r="I777" s="231">
        <f t="shared" ref="I777:I840" si="25">SUM(C777:E777)</f>
        <v>0</v>
      </c>
    </row>
    <row r="778" spans="1:9" hidden="1">
      <c r="A778" s="1566"/>
      <c r="B778" s="385"/>
      <c r="C778" s="638"/>
      <c r="D778" s="638"/>
      <c r="E778" s="639"/>
      <c r="F778" s="232"/>
      <c r="G778" s="232"/>
      <c r="H778" s="231">
        <f t="shared" si="24"/>
        <v>0</v>
      </c>
      <c r="I778" s="231">
        <f t="shared" si="25"/>
        <v>0</v>
      </c>
    </row>
    <row r="779" spans="1:9" hidden="1">
      <c r="A779" s="1566"/>
      <c r="B779" s="403"/>
      <c r="C779" s="651"/>
      <c r="D779" s="692"/>
      <c r="E779" s="651"/>
      <c r="F779" s="232"/>
      <c r="G779" s="232"/>
      <c r="H779" s="231">
        <f t="shared" si="24"/>
        <v>0</v>
      </c>
      <c r="I779" s="231">
        <f t="shared" si="25"/>
        <v>0</v>
      </c>
    </row>
    <row r="780" spans="1:9" hidden="1">
      <c r="A780" s="1566"/>
      <c r="B780" s="181"/>
      <c r="C780" s="654"/>
      <c r="D780" s="654"/>
      <c r="E780" s="655"/>
      <c r="F780" s="232"/>
      <c r="G780" s="232"/>
      <c r="H780" s="231">
        <f t="shared" si="24"/>
        <v>0</v>
      </c>
      <c r="I780" s="231">
        <f t="shared" si="25"/>
        <v>0</v>
      </c>
    </row>
    <row r="781" spans="1:9" hidden="1">
      <c r="A781" s="1566"/>
      <c r="B781" s="181"/>
      <c r="C781" s="654"/>
      <c r="D781" s="654"/>
      <c r="E781" s="655"/>
      <c r="F781" s="232"/>
      <c r="G781" s="232"/>
      <c r="H781" s="231">
        <f t="shared" si="24"/>
        <v>0</v>
      </c>
      <c r="I781" s="231">
        <f t="shared" si="25"/>
        <v>0</v>
      </c>
    </row>
    <row r="782" spans="1:9" hidden="1">
      <c r="A782" s="1566"/>
      <c r="B782" s="182"/>
      <c r="C782" s="679"/>
      <c r="D782" s="679"/>
      <c r="E782" s="693"/>
      <c r="F782" s="232"/>
      <c r="G782" s="232"/>
      <c r="H782" s="231">
        <f t="shared" si="24"/>
        <v>0</v>
      </c>
      <c r="I782" s="231">
        <f t="shared" si="25"/>
        <v>0</v>
      </c>
    </row>
    <row r="783" spans="1:9" hidden="1">
      <c r="A783" s="1566"/>
      <c r="B783" s="181"/>
      <c r="C783" s="654"/>
      <c r="D783" s="654"/>
      <c r="E783" s="655"/>
      <c r="F783" s="232"/>
      <c r="G783" s="232"/>
      <c r="H783" s="231">
        <f t="shared" si="24"/>
        <v>0</v>
      </c>
      <c r="I783" s="231">
        <f t="shared" si="25"/>
        <v>0</v>
      </c>
    </row>
    <row r="784" spans="1:9" hidden="1">
      <c r="A784" s="1566"/>
      <c r="B784" s="181"/>
      <c r="C784" s="654"/>
      <c r="D784" s="654"/>
      <c r="E784" s="655"/>
      <c r="F784" s="232"/>
      <c r="G784" s="232"/>
      <c r="H784" s="231">
        <f t="shared" si="24"/>
        <v>0</v>
      </c>
      <c r="I784" s="231">
        <f t="shared" si="25"/>
        <v>0</v>
      </c>
    </row>
    <row r="785" spans="1:9" s="7" customFormat="1" hidden="1">
      <c r="A785" s="1558"/>
      <c r="B785" s="107"/>
      <c r="C785" s="654"/>
      <c r="D785" s="654"/>
      <c r="E785" s="256"/>
      <c r="F785" s="232"/>
      <c r="G785" s="232"/>
      <c r="H785" s="231">
        <f t="shared" si="24"/>
        <v>0</v>
      </c>
      <c r="I785" s="231">
        <f t="shared" si="25"/>
        <v>0</v>
      </c>
    </row>
    <row r="786" spans="1:9" s="7" customFormat="1" hidden="1">
      <c r="A786" s="1558"/>
      <c r="B786" s="228"/>
      <c r="C786" s="256"/>
      <c r="D786" s="256"/>
      <c r="E786" s="256"/>
      <c r="F786" s="232"/>
      <c r="G786" s="232"/>
      <c r="H786" s="231">
        <f t="shared" si="24"/>
        <v>0</v>
      </c>
      <c r="I786" s="231">
        <f t="shared" si="25"/>
        <v>0</v>
      </c>
    </row>
    <row r="787" spans="1:9" s="7" customFormat="1" hidden="1">
      <c r="A787" s="1558"/>
      <c r="B787" s="107"/>
      <c r="C787" s="654"/>
      <c r="D787" s="654"/>
      <c r="E787" s="256"/>
      <c r="F787" s="232"/>
      <c r="G787" s="232"/>
      <c r="H787" s="231">
        <f t="shared" si="24"/>
        <v>0</v>
      </c>
      <c r="I787" s="231">
        <f t="shared" si="25"/>
        <v>0</v>
      </c>
    </row>
    <row r="788" spans="1:9" s="7" customFormat="1" hidden="1">
      <c r="A788" s="1558"/>
      <c r="B788" s="107"/>
      <c r="C788" s="654"/>
      <c r="D788" s="654"/>
      <c r="E788" s="256"/>
      <c r="F788" s="232"/>
      <c r="G788" s="232"/>
      <c r="H788" s="231">
        <f t="shared" si="24"/>
        <v>0</v>
      </c>
      <c r="I788" s="231">
        <f t="shared" si="25"/>
        <v>0</v>
      </c>
    </row>
    <row r="789" spans="1:9" s="7" customFormat="1" hidden="1">
      <c r="A789" s="1558"/>
      <c r="B789" s="107"/>
      <c r="C789" s="654"/>
      <c r="D789" s="654"/>
      <c r="E789" s="256"/>
      <c r="F789" s="232"/>
      <c r="G789" s="232"/>
      <c r="H789" s="231">
        <f t="shared" si="24"/>
        <v>0</v>
      </c>
      <c r="I789" s="231">
        <f t="shared" si="25"/>
        <v>0</v>
      </c>
    </row>
    <row r="790" spans="1:9" s="7" customFormat="1" hidden="1">
      <c r="A790" s="1558"/>
      <c r="B790" s="107"/>
      <c r="C790" s="654"/>
      <c r="D790" s="654"/>
      <c r="E790" s="256"/>
      <c r="F790" s="232"/>
      <c r="G790" s="232"/>
      <c r="H790" s="231">
        <f t="shared" si="24"/>
        <v>0</v>
      </c>
      <c r="I790" s="231">
        <f t="shared" si="25"/>
        <v>0</v>
      </c>
    </row>
    <row r="791" spans="1:9" s="7" customFormat="1" hidden="1">
      <c r="A791" s="1558"/>
      <c r="B791" s="107"/>
      <c r="C791" s="654"/>
      <c r="D791" s="654"/>
      <c r="E791" s="256"/>
      <c r="F791" s="232"/>
      <c r="G791" s="232"/>
      <c r="H791" s="231">
        <f t="shared" si="24"/>
        <v>0</v>
      </c>
      <c r="I791" s="231">
        <f t="shared" si="25"/>
        <v>0</v>
      </c>
    </row>
    <row r="792" spans="1:9" s="7" customFormat="1" hidden="1">
      <c r="A792" s="1558"/>
      <c r="B792" s="107"/>
      <c r="C792" s="654"/>
      <c r="D792" s="654"/>
      <c r="E792" s="256"/>
      <c r="F792" s="232"/>
      <c r="G792" s="232"/>
      <c r="H792" s="231">
        <f t="shared" si="24"/>
        <v>0</v>
      </c>
      <c r="I792" s="231">
        <f t="shared" si="25"/>
        <v>0</v>
      </c>
    </row>
    <row r="793" spans="1:9" s="7" customFormat="1" hidden="1">
      <c r="A793" s="1558"/>
      <c r="B793" s="107"/>
      <c r="C793" s="256"/>
      <c r="D793" s="256"/>
      <c r="E793" s="256"/>
      <c r="F793" s="232"/>
      <c r="G793" s="232"/>
      <c r="H793" s="231">
        <f t="shared" si="24"/>
        <v>0</v>
      </c>
      <c r="I793" s="231">
        <f t="shared" si="25"/>
        <v>0</v>
      </c>
    </row>
    <row r="794" spans="1:9" s="7" customFormat="1" hidden="1">
      <c r="A794" s="1558"/>
      <c r="B794" s="107"/>
      <c r="C794" s="654"/>
      <c r="D794" s="654"/>
      <c r="E794" s="256"/>
      <c r="F794" s="232"/>
      <c r="G794" s="232"/>
      <c r="H794" s="231">
        <f t="shared" si="24"/>
        <v>0</v>
      </c>
      <c r="I794" s="231">
        <f t="shared" si="25"/>
        <v>0</v>
      </c>
    </row>
    <row r="795" spans="1:9" s="7" customFormat="1" hidden="1">
      <c r="A795" s="1558"/>
      <c r="B795" s="107"/>
      <c r="C795" s="654"/>
      <c r="D795" s="654"/>
      <c r="E795" s="256"/>
      <c r="F795" s="232"/>
      <c r="G795" s="232"/>
      <c r="H795" s="231">
        <f t="shared" si="24"/>
        <v>0</v>
      </c>
      <c r="I795" s="231">
        <f t="shared" si="25"/>
        <v>0</v>
      </c>
    </row>
    <row r="796" spans="1:9" s="7" customFormat="1" hidden="1">
      <c r="A796" s="1558"/>
      <c r="B796" s="107"/>
      <c r="C796" s="654"/>
      <c r="D796" s="654"/>
      <c r="E796" s="256"/>
      <c r="F796" s="232"/>
      <c r="G796" s="232"/>
      <c r="H796" s="231">
        <f t="shared" si="24"/>
        <v>0</v>
      </c>
      <c r="I796" s="231">
        <f t="shared" si="25"/>
        <v>0</v>
      </c>
    </row>
    <row r="797" spans="1:9" s="7" customFormat="1" hidden="1">
      <c r="A797" s="1558"/>
      <c r="B797" s="107"/>
      <c r="C797" s="654"/>
      <c r="D797" s="654"/>
      <c r="E797" s="256"/>
      <c r="F797" s="232"/>
      <c r="G797" s="232"/>
      <c r="H797" s="231">
        <f t="shared" si="24"/>
        <v>0</v>
      </c>
      <c r="I797" s="231">
        <f t="shared" si="25"/>
        <v>0</v>
      </c>
    </row>
    <row r="798" spans="1:9" s="7" customFormat="1" hidden="1">
      <c r="A798" s="1558"/>
      <c r="B798" s="107"/>
      <c r="C798" s="654"/>
      <c r="D798" s="654"/>
      <c r="E798" s="256"/>
      <c r="F798" s="232"/>
      <c r="G798" s="232"/>
      <c r="H798" s="231">
        <f t="shared" si="24"/>
        <v>0</v>
      </c>
      <c r="I798" s="231">
        <f t="shared" si="25"/>
        <v>0</v>
      </c>
    </row>
    <row r="799" spans="1:9" s="7" customFormat="1" hidden="1">
      <c r="A799" s="1558"/>
      <c r="B799" s="107"/>
      <c r="C799" s="654"/>
      <c r="D799" s="654"/>
      <c r="E799" s="256"/>
      <c r="F799" s="232"/>
      <c r="G799" s="232"/>
      <c r="H799" s="231">
        <f t="shared" si="24"/>
        <v>0</v>
      </c>
      <c r="I799" s="231">
        <f t="shared" si="25"/>
        <v>0</v>
      </c>
    </row>
    <row r="800" spans="1:9" s="7" customFormat="1" hidden="1">
      <c r="A800" s="1558"/>
      <c r="B800" s="107"/>
      <c r="C800" s="654"/>
      <c r="D800" s="654"/>
      <c r="E800" s="256"/>
      <c r="F800" s="232"/>
      <c r="G800" s="232"/>
      <c r="H800" s="231">
        <f t="shared" si="24"/>
        <v>0</v>
      </c>
      <c r="I800" s="231">
        <f t="shared" si="25"/>
        <v>0</v>
      </c>
    </row>
    <row r="801" spans="1:9" s="7" customFormat="1" hidden="1">
      <c r="A801" s="1558"/>
      <c r="B801" s="107"/>
      <c r="C801" s="654"/>
      <c r="D801" s="654"/>
      <c r="E801" s="256"/>
      <c r="F801" s="232"/>
      <c r="G801" s="232"/>
      <c r="H801" s="231">
        <f t="shared" si="24"/>
        <v>0</v>
      </c>
      <c r="I801" s="231">
        <f t="shared" si="25"/>
        <v>0</v>
      </c>
    </row>
    <row r="802" spans="1:9" s="7" customFormat="1" hidden="1">
      <c r="A802" s="1558"/>
      <c r="B802" s="107"/>
      <c r="C802" s="654"/>
      <c r="D802" s="654"/>
      <c r="E802" s="256"/>
      <c r="F802" s="232"/>
      <c r="G802" s="232"/>
      <c r="H802" s="231">
        <f t="shared" si="24"/>
        <v>0</v>
      </c>
      <c r="I802" s="231">
        <f t="shared" si="25"/>
        <v>0</v>
      </c>
    </row>
    <row r="803" spans="1:9" s="7" customFormat="1" hidden="1">
      <c r="A803" s="1558"/>
      <c r="B803" s="228"/>
      <c r="C803" s="256"/>
      <c r="D803" s="256"/>
      <c r="E803" s="256"/>
      <c r="F803" s="232"/>
      <c r="G803" s="232"/>
      <c r="H803" s="231">
        <f t="shared" si="24"/>
        <v>0</v>
      </c>
      <c r="I803" s="231">
        <f t="shared" si="25"/>
        <v>0</v>
      </c>
    </row>
    <row r="804" spans="1:9" s="7" customFormat="1" hidden="1">
      <c r="A804" s="1558"/>
      <c r="B804" s="228"/>
      <c r="C804" s="256"/>
      <c r="D804" s="256"/>
      <c r="E804" s="256"/>
      <c r="F804" s="232"/>
      <c r="G804" s="232"/>
      <c r="H804" s="231">
        <f t="shared" si="24"/>
        <v>0</v>
      </c>
      <c r="I804" s="231">
        <f t="shared" si="25"/>
        <v>0</v>
      </c>
    </row>
    <row r="805" spans="1:9" s="7" customFormat="1" hidden="1">
      <c r="A805" s="1554"/>
      <c r="B805" s="273"/>
      <c r="C805" s="275"/>
      <c r="D805" s="275"/>
      <c r="E805" s="275"/>
      <c r="F805" s="232"/>
      <c r="G805" s="232"/>
      <c r="H805" s="231">
        <f t="shared" si="24"/>
        <v>0</v>
      </c>
      <c r="I805" s="231">
        <f t="shared" si="25"/>
        <v>0</v>
      </c>
    </row>
    <row r="806" spans="1:9" s="7" customFormat="1" hidden="1">
      <c r="A806" s="1554"/>
      <c r="B806" s="107"/>
      <c r="C806" s="256"/>
      <c r="D806" s="256"/>
      <c r="E806" s="256"/>
      <c r="F806" s="232"/>
      <c r="G806" s="232"/>
      <c r="H806" s="231">
        <f t="shared" si="24"/>
        <v>0</v>
      </c>
      <c r="I806" s="231">
        <f t="shared" si="25"/>
        <v>0</v>
      </c>
    </row>
    <row r="807" spans="1:9" s="7" customFormat="1" hidden="1">
      <c r="A807" s="1554"/>
      <c r="B807" s="107"/>
      <c r="C807" s="256"/>
      <c r="D807" s="256"/>
      <c r="E807" s="256"/>
      <c r="F807" s="232"/>
      <c r="G807" s="232"/>
      <c r="H807" s="231">
        <f t="shared" si="24"/>
        <v>0</v>
      </c>
      <c r="I807" s="231">
        <f t="shared" si="25"/>
        <v>0</v>
      </c>
    </row>
    <row r="808" spans="1:9" s="7" customFormat="1" hidden="1">
      <c r="A808" s="1554"/>
      <c r="B808" s="107"/>
      <c r="C808" s="256"/>
      <c r="D808" s="256"/>
      <c r="E808" s="256"/>
      <c r="F808" s="232"/>
      <c r="G808" s="232"/>
      <c r="H808" s="231">
        <f t="shared" si="24"/>
        <v>0</v>
      </c>
      <c r="I808" s="231">
        <f t="shared" si="25"/>
        <v>0</v>
      </c>
    </row>
    <row r="809" spans="1:9" s="7" customFormat="1" hidden="1">
      <c r="A809" s="1554"/>
      <c r="B809" s="107"/>
      <c r="C809" s="256"/>
      <c r="D809" s="256"/>
      <c r="E809" s="256"/>
      <c r="F809" s="232"/>
      <c r="G809" s="232"/>
      <c r="H809" s="231">
        <f t="shared" si="24"/>
        <v>0</v>
      </c>
      <c r="I809" s="231">
        <f t="shared" si="25"/>
        <v>0</v>
      </c>
    </row>
    <row r="810" spans="1:9" s="7" customFormat="1" hidden="1">
      <c r="A810" s="1554"/>
      <c r="B810" s="107"/>
      <c r="C810" s="256"/>
      <c r="D810" s="256"/>
      <c r="E810" s="256"/>
      <c r="F810" s="232"/>
      <c r="G810" s="232"/>
      <c r="H810" s="231">
        <f t="shared" si="24"/>
        <v>0</v>
      </c>
      <c r="I810" s="231">
        <f t="shared" si="25"/>
        <v>0</v>
      </c>
    </row>
    <row r="811" spans="1:9" s="7" customFormat="1" hidden="1">
      <c r="A811" s="1554"/>
      <c r="B811" s="107"/>
      <c r="C811" s="256"/>
      <c r="D811" s="256"/>
      <c r="E811" s="256"/>
      <c r="F811" s="232"/>
      <c r="G811" s="232"/>
      <c r="H811" s="231">
        <f t="shared" si="24"/>
        <v>0</v>
      </c>
      <c r="I811" s="231">
        <f t="shared" si="25"/>
        <v>0</v>
      </c>
    </row>
    <row r="812" spans="1:9" s="7" customFormat="1" hidden="1">
      <c r="A812" s="1554"/>
      <c r="B812" s="107"/>
      <c r="C812" s="256"/>
      <c r="D812" s="256"/>
      <c r="E812" s="256"/>
      <c r="F812" s="232"/>
      <c r="G812" s="232"/>
      <c r="H812" s="231">
        <f t="shared" si="24"/>
        <v>0</v>
      </c>
      <c r="I812" s="231">
        <f t="shared" si="25"/>
        <v>0</v>
      </c>
    </row>
    <row r="813" spans="1:9" s="7" customFormat="1" hidden="1">
      <c r="A813" s="1554"/>
      <c r="B813" s="107"/>
      <c r="C813" s="256"/>
      <c r="D813" s="256"/>
      <c r="E813" s="256"/>
      <c r="F813" s="232"/>
      <c r="G813" s="232"/>
      <c r="H813" s="231">
        <f t="shared" si="24"/>
        <v>0</v>
      </c>
      <c r="I813" s="231">
        <f t="shared" si="25"/>
        <v>0</v>
      </c>
    </row>
    <row r="814" spans="1:9" s="7" customFormat="1" hidden="1">
      <c r="A814" s="1554"/>
      <c r="B814" s="107"/>
      <c r="C814" s="256"/>
      <c r="D814" s="256"/>
      <c r="E814" s="256"/>
      <c r="F814" s="232"/>
      <c r="G814" s="232"/>
      <c r="H814" s="231">
        <f t="shared" si="24"/>
        <v>0</v>
      </c>
      <c r="I814" s="231">
        <f t="shared" si="25"/>
        <v>0</v>
      </c>
    </row>
    <row r="815" spans="1:9" s="7" customFormat="1" ht="18" hidden="1" customHeight="1">
      <c r="A815" s="1554"/>
      <c r="B815" s="107"/>
      <c r="C815" s="654"/>
      <c r="D815" s="654"/>
      <c r="E815" s="256"/>
      <c r="F815" s="232"/>
      <c r="G815" s="232"/>
      <c r="H815" s="231">
        <f t="shared" si="24"/>
        <v>0</v>
      </c>
      <c r="I815" s="231">
        <f t="shared" si="25"/>
        <v>0</v>
      </c>
    </row>
    <row r="816" spans="1:9" s="7" customFormat="1" ht="18" hidden="1" customHeight="1">
      <c r="A816" s="1554"/>
      <c r="B816" s="107"/>
      <c r="C816" s="654"/>
      <c r="D816" s="654"/>
      <c r="E816" s="256"/>
      <c r="F816" s="232"/>
      <c r="G816" s="232"/>
      <c r="H816" s="231">
        <f t="shared" si="24"/>
        <v>0</v>
      </c>
      <c r="I816" s="231">
        <f t="shared" si="25"/>
        <v>0</v>
      </c>
    </row>
    <row r="817" spans="1:12" s="7" customFormat="1" ht="18" hidden="1" customHeight="1">
      <c r="A817" s="1554"/>
      <c r="B817" s="107"/>
      <c r="C817" s="654"/>
      <c r="D817" s="654"/>
      <c r="E817" s="256"/>
      <c r="F817" s="232"/>
      <c r="G817" s="232"/>
      <c r="H817" s="231">
        <f t="shared" si="24"/>
        <v>0</v>
      </c>
      <c r="I817" s="231">
        <f t="shared" si="25"/>
        <v>0</v>
      </c>
    </row>
    <row r="818" spans="1:12" s="7" customFormat="1" ht="18" hidden="1" customHeight="1">
      <c r="A818" s="1554"/>
      <c r="B818" s="268"/>
      <c r="C818" s="656"/>
      <c r="D818" s="656"/>
      <c r="E818" s="657"/>
      <c r="F818" s="232"/>
      <c r="G818" s="232"/>
      <c r="H818" s="231">
        <f t="shared" si="24"/>
        <v>0</v>
      </c>
      <c r="I818" s="231">
        <f t="shared" si="25"/>
        <v>0</v>
      </c>
    </row>
    <row r="819" spans="1:12">
      <c r="A819" s="1566"/>
      <c r="B819" s="209" t="s">
        <v>985</v>
      </c>
      <c r="C819" s="581">
        <f>SUM(C766:C818)</f>
        <v>432650</v>
      </c>
      <c r="D819" s="581">
        <f>SUM(D766:D818)</f>
        <v>432650</v>
      </c>
      <c r="E819" s="581">
        <f>SUM(E766:E818)</f>
        <v>0</v>
      </c>
      <c r="F819" s="263">
        <f>SUM(F766:F772)</f>
        <v>0</v>
      </c>
      <c r="G819" s="236">
        <f>SUM(G766:G772)</f>
        <v>0</v>
      </c>
      <c r="H819" s="1497">
        <f t="shared" si="24"/>
        <v>0</v>
      </c>
      <c r="I819" s="1497">
        <f t="shared" si="25"/>
        <v>865300</v>
      </c>
      <c r="J819" s="1440"/>
      <c r="K819" s="1490"/>
      <c r="L819" s="1490"/>
    </row>
    <row r="820" spans="1:12" ht="75">
      <c r="A820" s="1566" t="s">
        <v>1168</v>
      </c>
      <c r="B820" s="181" t="s">
        <v>772</v>
      </c>
      <c r="C820" s="589">
        <v>17300</v>
      </c>
      <c r="D820" s="589">
        <v>17300</v>
      </c>
      <c r="E820" s="510"/>
      <c r="F820" s="237"/>
      <c r="G820" s="237"/>
      <c r="H820" s="1497">
        <f t="shared" si="24"/>
        <v>0</v>
      </c>
      <c r="I820" s="1497">
        <f t="shared" si="25"/>
        <v>34600</v>
      </c>
      <c r="J820" s="1440"/>
      <c r="K820" s="1490"/>
      <c r="L820" s="1490"/>
    </row>
    <row r="821" spans="1:12" ht="37.5">
      <c r="A821" s="1566"/>
      <c r="B821" s="369" t="s">
        <v>1273</v>
      </c>
      <c r="C821" s="590">
        <v>259419</v>
      </c>
      <c r="D821" s="590">
        <v>259419</v>
      </c>
      <c r="E821" s="590"/>
      <c r="F821" s="232"/>
      <c r="G821" s="232"/>
      <c r="H821" s="1497">
        <f t="shared" si="24"/>
        <v>0</v>
      </c>
      <c r="I821" s="1497">
        <f t="shared" si="25"/>
        <v>518838</v>
      </c>
      <c r="J821" s="1440"/>
      <c r="K821" s="1490"/>
      <c r="L821" s="1490"/>
    </row>
    <row r="822" spans="1:12" ht="56.25">
      <c r="A822" s="1566"/>
      <c r="B822" s="1215" t="s">
        <v>1340</v>
      </c>
      <c r="C822" s="1214">
        <v>5000</v>
      </c>
      <c r="D822" s="256"/>
      <c r="E822" s="256">
        <v>5000</v>
      </c>
      <c r="F822" s="232"/>
      <c r="G822" s="232"/>
      <c r="H822" s="1497">
        <f t="shared" si="24"/>
        <v>0</v>
      </c>
      <c r="I822" s="1497">
        <f t="shared" si="25"/>
        <v>10000</v>
      </c>
      <c r="J822" s="1440"/>
      <c r="K822" s="1490"/>
      <c r="L822" s="1490"/>
    </row>
    <row r="823" spans="1:12" ht="93.75">
      <c r="A823" s="1566"/>
      <c r="B823" s="1215" t="s">
        <v>1341</v>
      </c>
      <c r="C823" s="1214">
        <v>30000</v>
      </c>
      <c r="D823" s="256">
        <v>30000</v>
      </c>
      <c r="E823" s="256"/>
      <c r="F823" s="232"/>
      <c r="G823" s="232"/>
      <c r="H823" s="1497">
        <f t="shared" si="24"/>
        <v>0</v>
      </c>
      <c r="I823" s="1497">
        <f t="shared" si="25"/>
        <v>60000</v>
      </c>
      <c r="J823" s="1440"/>
      <c r="K823" s="1490"/>
      <c r="L823" s="1490"/>
    </row>
    <row r="824" spans="1:12" ht="56.25">
      <c r="A824" s="1566"/>
      <c r="B824" s="1215" t="s">
        <v>1342</v>
      </c>
      <c r="C824" s="1214">
        <v>20000</v>
      </c>
      <c r="D824" s="256">
        <v>20000</v>
      </c>
      <c r="E824" s="256"/>
      <c r="F824" s="232"/>
      <c r="G824" s="232"/>
      <c r="H824" s="1497">
        <f t="shared" si="24"/>
        <v>0</v>
      </c>
      <c r="I824" s="1497">
        <f t="shared" si="25"/>
        <v>40000</v>
      </c>
      <c r="J824" s="1440"/>
      <c r="K824" s="1490"/>
      <c r="L824" s="1490"/>
    </row>
    <row r="825" spans="1:12" ht="75">
      <c r="A825" s="1566"/>
      <c r="B825" s="1215" t="s">
        <v>1343</v>
      </c>
      <c r="C825" s="1214">
        <v>100000</v>
      </c>
      <c r="D825" s="256"/>
      <c r="E825" s="256">
        <v>100000</v>
      </c>
      <c r="F825" s="232"/>
      <c r="G825" s="232"/>
      <c r="H825" s="1497">
        <f t="shared" si="24"/>
        <v>0</v>
      </c>
      <c r="I825" s="1497">
        <f t="shared" si="25"/>
        <v>200000</v>
      </c>
      <c r="J825" s="1440"/>
      <c r="K825" s="1490"/>
      <c r="L825" s="1490"/>
    </row>
    <row r="826" spans="1:12" ht="37.5">
      <c r="A826" s="1566"/>
      <c r="B826" s="1215" t="s">
        <v>1344</v>
      </c>
      <c r="C826" s="1214">
        <v>250000</v>
      </c>
      <c r="D826" s="256">
        <v>250000</v>
      </c>
      <c r="E826" s="256"/>
      <c r="F826" s="232"/>
      <c r="G826" s="232"/>
      <c r="H826" s="1497">
        <f t="shared" si="24"/>
        <v>0</v>
      </c>
      <c r="I826" s="1497">
        <f t="shared" si="25"/>
        <v>500000</v>
      </c>
      <c r="J826" s="1440"/>
      <c r="K826" s="1490"/>
      <c r="L826" s="1490"/>
    </row>
    <row r="827" spans="1:12" s="7" customFormat="1" ht="93.75">
      <c r="A827" s="1558"/>
      <c r="B827" s="107" t="s">
        <v>1557</v>
      </c>
      <c r="C827" s="184">
        <v>10000</v>
      </c>
      <c r="D827" s="184">
        <v>10000</v>
      </c>
      <c r="E827" s="184"/>
      <c r="F827" s="232"/>
      <c r="G827" s="232"/>
      <c r="H827" s="1497">
        <f t="shared" si="24"/>
        <v>0</v>
      </c>
      <c r="I827" s="1497">
        <f t="shared" si="25"/>
        <v>20000</v>
      </c>
      <c r="J827" s="1435"/>
      <c r="K827" s="1491"/>
      <c r="L827" s="1491"/>
    </row>
    <row r="828" spans="1:12" s="7" customFormat="1" ht="131.25">
      <c r="A828" s="1558"/>
      <c r="B828" s="107" t="s">
        <v>1558</v>
      </c>
      <c r="C828" s="184">
        <v>8112</v>
      </c>
      <c r="D828" s="184">
        <v>8112</v>
      </c>
      <c r="E828" s="184"/>
      <c r="F828" s="232"/>
      <c r="G828" s="232"/>
      <c r="H828" s="1497">
        <f t="shared" si="24"/>
        <v>0</v>
      </c>
      <c r="I828" s="1497">
        <f t="shared" si="25"/>
        <v>16224</v>
      </c>
      <c r="J828" s="1435"/>
      <c r="K828" s="1491"/>
      <c r="L828" s="1491"/>
    </row>
    <row r="829" spans="1:12" s="7" customFormat="1" ht="75">
      <c r="A829" s="1558"/>
      <c r="B829" s="107" t="s">
        <v>1559</v>
      </c>
      <c r="C829" s="184">
        <v>12000</v>
      </c>
      <c r="D829" s="184"/>
      <c r="E829" s="184">
        <v>12000</v>
      </c>
      <c r="F829" s="232"/>
      <c r="G829" s="232"/>
      <c r="H829" s="1497">
        <f t="shared" si="24"/>
        <v>0</v>
      </c>
      <c r="I829" s="1497">
        <f t="shared" si="25"/>
        <v>24000</v>
      </c>
      <c r="J829" s="1435"/>
      <c r="K829" s="1491"/>
      <c r="L829" s="1491"/>
    </row>
    <row r="830" spans="1:12" s="7" customFormat="1" ht="75">
      <c r="A830" s="1558"/>
      <c r="B830" s="107" t="s">
        <v>1560</v>
      </c>
      <c r="C830" s="184">
        <v>3000</v>
      </c>
      <c r="D830" s="184">
        <v>3000</v>
      </c>
      <c r="E830" s="184"/>
      <c r="F830" s="232"/>
      <c r="G830" s="232"/>
      <c r="H830" s="1497">
        <f t="shared" si="24"/>
        <v>0</v>
      </c>
      <c r="I830" s="1497">
        <f t="shared" si="25"/>
        <v>6000</v>
      </c>
      <c r="J830" s="1435"/>
      <c r="K830" s="1491"/>
      <c r="L830" s="1491"/>
    </row>
    <row r="831" spans="1:12" s="7" customFormat="1" ht="56.25">
      <c r="A831" s="1558"/>
      <c r="B831" s="107" t="s">
        <v>1561</v>
      </c>
      <c r="C831" s="184">
        <v>9000</v>
      </c>
      <c r="D831" s="184"/>
      <c r="E831" s="184">
        <v>9000</v>
      </c>
      <c r="F831" s="232"/>
      <c r="G831" s="232"/>
      <c r="H831" s="1497">
        <f t="shared" si="24"/>
        <v>0</v>
      </c>
      <c r="I831" s="1497">
        <f t="shared" si="25"/>
        <v>18000</v>
      </c>
      <c r="J831" s="1435"/>
      <c r="K831" s="1491"/>
      <c r="L831" s="1491"/>
    </row>
    <row r="832" spans="1:12" s="7" customFormat="1" ht="75">
      <c r="A832" s="1558"/>
      <c r="B832" s="107" t="s">
        <v>1562</v>
      </c>
      <c r="C832" s="184">
        <v>9000</v>
      </c>
      <c r="D832" s="184"/>
      <c r="E832" s="184">
        <v>9000</v>
      </c>
      <c r="F832" s="232"/>
      <c r="G832" s="232"/>
      <c r="H832" s="1497">
        <f t="shared" si="24"/>
        <v>0</v>
      </c>
      <c r="I832" s="1497">
        <f t="shared" si="25"/>
        <v>18000</v>
      </c>
      <c r="J832" s="1435"/>
      <c r="K832" s="1491"/>
      <c r="L832" s="1491"/>
    </row>
    <row r="833" spans="1:12" s="7" customFormat="1" ht="56.25">
      <c r="A833" s="1558"/>
      <c r="B833" s="107" t="s">
        <v>1563</v>
      </c>
      <c r="C833" s="184">
        <v>20000</v>
      </c>
      <c r="D833" s="184"/>
      <c r="E833" s="184">
        <v>20000</v>
      </c>
      <c r="F833" s="232"/>
      <c r="G833" s="232"/>
      <c r="H833" s="1497">
        <f t="shared" si="24"/>
        <v>0</v>
      </c>
      <c r="I833" s="1497">
        <f t="shared" si="25"/>
        <v>40000</v>
      </c>
      <c r="J833" s="1435"/>
      <c r="K833" s="1491"/>
      <c r="L833" s="1491"/>
    </row>
    <row r="834" spans="1:12" s="7" customFormat="1" ht="112.5">
      <c r="A834" s="1558"/>
      <c r="B834" s="1231" t="s">
        <v>1564</v>
      </c>
      <c r="C834" s="184">
        <v>15000</v>
      </c>
      <c r="D834" s="184">
        <v>15000</v>
      </c>
      <c r="E834" s="184"/>
      <c r="F834" s="232"/>
      <c r="G834" s="232"/>
      <c r="H834" s="1497">
        <f t="shared" si="24"/>
        <v>0</v>
      </c>
      <c r="I834" s="1497">
        <f t="shared" si="25"/>
        <v>30000</v>
      </c>
      <c r="J834" s="1435"/>
      <c r="K834" s="1491"/>
      <c r="L834" s="1491"/>
    </row>
    <row r="835" spans="1:12" s="7" customFormat="1" ht="93.75">
      <c r="A835" s="1558"/>
      <c r="B835" s="107" t="s">
        <v>1565</v>
      </c>
      <c r="C835" s="184">
        <v>8000</v>
      </c>
      <c r="D835" s="184"/>
      <c r="E835" s="184">
        <v>8000</v>
      </c>
      <c r="F835" s="232"/>
      <c r="G835" s="232"/>
      <c r="H835" s="1497">
        <f t="shared" si="24"/>
        <v>0</v>
      </c>
      <c r="I835" s="1497">
        <f t="shared" si="25"/>
        <v>16000</v>
      </c>
      <c r="J835" s="1435"/>
      <c r="K835" s="1491"/>
      <c r="L835" s="1491"/>
    </row>
    <row r="836" spans="1:12" s="7" customFormat="1" ht="56.25">
      <c r="A836" s="1558"/>
      <c r="B836" s="107" t="s">
        <v>1566</v>
      </c>
      <c r="C836" s="184">
        <v>20000</v>
      </c>
      <c r="D836" s="184"/>
      <c r="E836" s="184">
        <v>20000</v>
      </c>
      <c r="F836" s="232"/>
      <c r="G836" s="232"/>
      <c r="H836" s="1497">
        <f t="shared" si="24"/>
        <v>0</v>
      </c>
      <c r="I836" s="1497">
        <f t="shared" si="25"/>
        <v>40000</v>
      </c>
      <c r="J836" s="1435"/>
      <c r="K836" s="1491"/>
      <c r="L836" s="1491"/>
    </row>
    <row r="837" spans="1:12" s="85" customFormat="1" ht="75">
      <c r="A837" s="1558"/>
      <c r="B837" s="107" t="s">
        <v>1567</v>
      </c>
      <c r="C837" s="184">
        <v>3000</v>
      </c>
      <c r="D837" s="184">
        <v>3000</v>
      </c>
      <c r="E837" s="184"/>
      <c r="F837" s="239"/>
      <c r="G837" s="239"/>
      <c r="H837" s="1497">
        <f t="shared" si="24"/>
        <v>0</v>
      </c>
      <c r="I837" s="1497">
        <f t="shared" si="25"/>
        <v>6000</v>
      </c>
      <c r="J837" s="1435"/>
      <c r="K837" s="1491"/>
      <c r="L837" s="1491"/>
    </row>
    <row r="838" spans="1:12" s="7" customFormat="1" ht="56.25">
      <c r="A838" s="1558"/>
      <c r="B838" s="107" t="s">
        <v>1568</v>
      </c>
      <c r="C838" s="184">
        <v>2700</v>
      </c>
      <c r="D838" s="184">
        <v>2700</v>
      </c>
      <c r="E838" s="184"/>
      <c r="F838" s="232"/>
      <c r="G838" s="232"/>
      <c r="H838" s="1497">
        <f t="shared" si="24"/>
        <v>0</v>
      </c>
      <c r="I838" s="1497">
        <f t="shared" si="25"/>
        <v>5400</v>
      </c>
      <c r="J838" s="1435"/>
      <c r="K838" s="1491"/>
      <c r="L838" s="1491"/>
    </row>
    <row r="839" spans="1:12" s="7" customFormat="1" ht="56.25">
      <c r="A839" s="1558"/>
      <c r="B839" s="107" t="s">
        <v>1569</v>
      </c>
      <c r="C839" s="184">
        <v>14100</v>
      </c>
      <c r="D839" s="184"/>
      <c r="E839" s="184">
        <v>14100</v>
      </c>
      <c r="F839" s="232"/>
      <c r="G839" s="232"/>
      <c r="H839" s="1497">
        <f t="shared" si="24"/>
        <v>0</v>
      </c>
      <c r="I839" s="1497">
        <f t="shared" si="25"/>
        <v>28200</v>
      </c>
      <c r="J839" s="1435"/>
      <c r="K839" s="1491"/>
      <c r="L839" s="1491"/>
    </row>
    <row r="840" spans="1:12" s="7" customFormat="1" ht="75">
      <c r="A840" s="1558"/>
      <c r="B840" s="107" t="s">
        <v>1570</v>
      </c>
      <c r="C840" s="184">
        <v>50000</v>
      </c>
      <c r="D840" s="184">
        <v>50000</v>
      </c>
      <c r="E840" s="184"/>
      <c r="F840" s="232"/>
      <c r="G840" s="232"/>
      <c r="H840" s="1497">
        <f t="shared" si="24"/>
        <v>0</v>
      </c>
      <c r="I840" s="1497">
        <f t="shared" si="25"/>
        <v>100000</v>
      </c>
      <c r="J840" s="1435"/>
      <c r="K840" s="1491"/>
      <c r="L840" s="1491"/>
    </row>
    <row r="841" spans="1:12" s="7" customFormat="1" ht="56.25">
      <c r="A841" s="1558"/>
      <c r="B841" s="107" t="s">
        <v>1571</v>
      </c>
      <c r="C841" s="184">
        <v>40000</v>
      </c>
      <c r="D841" s="184">
        <v>40000</v>
      </c>
      <c r="E841" s="184"/>
      <c r="F841" s="232"/>
      <c r="G841" s="232"/>
      <c r="H841" s="1497">
        <f t="shared" ref="H841:H904" si="26">E841+D841-C841</f>
        <v>0</v>
      </c>
      <c r="I841" s="1497">
        <f t="shared" ref="I841:I904" si="27">SUM(C841:E841)</f>
        <v>80000</v>
      </c>
      <c r="J841" s="1435"/>
      <c r="K841" s="1491"/>
      <c r="L841" s="1491"/>
    </row>
    <row r="842" spans="1:12" s="7" customFormat="1" hidden="1">
      <c r="A842" s="1558"/>
      <c r="B842" s="371"/>
      <c r="C842" s="851"/>
      <c r="D842" s="851"/>
      <c r="E842" s="852"/>
      <c r="F842" s="232"/>
      <c r="G842" s="232"/>
      <c r="H842" s="231">
        <f t="shared" si="26"/>
        <v>0</v>
      </c>
      <c r="I842" s="231">
        <f t="shared" si="27"/>
        <v>0</v>
      </c>
    </row>
    <row r="843" spans="1:12" s="7" customFormat="1" hidden="1">
      <c r="A843" s="1558"/>
      <c r="B843" s="371"/>
      <c r="C843" s="851"/>
      <c r="D843" s="851"/>
      <c r="E843" s="852"/>
      <c r="F843" s="232"/>
      <c r="G843" s="232"/>
      <c r="H843" s="231">
        <f t="shared" si="26"/>
        <v>0</v>
      </c>
      <c r="I843" s="231">
        <f t="shared" si="27"/>
        <v>0</v>
      </c>
    </row>
    <row r="844" spans="1:12" s="7" customFormat="1" hidden="1">
      <c r="A844" s="1558"/>
      <c r="B844" s="371"/>
      <c r="C844" s="851"/>
      <c r="D844" s="851"/>
      <c r="E844" s="852"/>
      <c r="F844" s="232"/>
      <c r="G844" s="232"/>
      <c r="H844" s="231">
        <f t="shared" si="26"/>
        <v>0</v>
      </c>
      <c r="I844" s="231">
        <f t="shared" si="27"/>
        <v>0</v>
      </c>
    </row>
    <row r="845" spans="1:12" s="7" customFormat="1" hidden="1">
      <c r="A845" s="1558"/>
      <c r="B845" s="371"/>
      <c r="C845" s="851"/>
      <c r="D845" s="851"/>
      <c r="E845" s="852"/>
      <c r="F845" s="232"/>
      <c r="G845" s="232"/>
      <c r="H845" s="231">
        <f t="shared" si="26"/>
        <v>0</v>
      </c>
      <c r="I845" s="231">
        <f t="shared" si="27"/>
        <v>0</v>
      </c>
    </row>
    <row r="846" spans="1:12" s="7" customFormat="1" hidden="1">
      <c r="A846" s="1554"/>
      <c r="B846" s="371"/>
      <c r="C846" s="851"/>
      <c r="D846" s="851"/>
      <c r="E846" s="852"/>
      <c r="F846" s="232"/>
      <c r="G846" s="232"/>
      <c r="H846" s="231">
        <f t="shared" si="26"/>
        <v>0</v>
      </c>
      <c r="I846" s="231">
        <f t="shared" si="27"/>
        <v>0</v>
      </c>
    </row>
    <row r="847" spans="1:12" s="120" customFormat="1" hidden="1">
      <c r="A847" s="1554"/>
      <c r="B847" s="821"/>
      <c r="C847" s="851"/>
      <c r="D847" s="851"/>
      <c r="E847" s="852"/>
      <c r="F847" s="238"/>
      <c r="G847" s="238"/>
      <c r="H847" s="231">
        <f t="shared" si="26"/>
        <v>0</v>
      </c>
      <c r="I847" s="231">
        <f t="shared" si="27"/>
        <v>0</v>
      </c>
    </row>
    <row r="848" spans="1:12" s="7" customFormat="1" hidden="1">
      <c r="A848" s="1554"/>
      <c r="B848" s="352"/>
      <c r="C848" s="670"/>
      <c r="D848" s="670"/>
      <c r="E848" s="671"/>
      <c r="F848" s="232"/>
      <c r="G848" s="232"/>
      <c r="H848" s="231">
        <f t="shared" si="26"/>
        <v>0</v>
      </c>
      <c r="I848" s="231">
        <f t="shared" si="27"/>
        <v>0</v>
      </c>
    </row>
    <row r="849" spans="1:9" s="7" customFormat="1" hidden="1">
      <c r="A849" s="1554"/>
      <c r="B849" s="352"/>
      <c r="C849" s="670"/>
      <c r="D849" s="670"/>
      <c r="E849" s="671"/>
      <c r="F849" s="232"/>
      <c r="G849" s="232"/>
      <c r="H849" s="231">
        <f t="shared" si="26"/>
        <v>0</v>
      </c>
      <c r="I849" s="231">
        <f t="shared" si="27"/>
        <v>0</v>
      </c>
    </row>
    <row r="850" spans="1:9" s="7" customFormat="1" hidden="1">
      <c r="A850" s="1554"/>
      <c r="B850" s="352"/>
      <c r="C850" s="670"/>
      <c r="D850" s="670"/>
      <c r="E850" s="671"/>
      <c r="F850" s="232"/>
      <c r="G850" s="232"/>
      <c r="H850" s="231">
        <f t="shared" si="26"/>
        <v>0</v>
      </c>
      <c r="I850" s="231">
        <f t="shared" si="27"/>
        <v>0</v>
      </c>
    </row>
    <row r="851" spans="1:9" s="7" customFormat="1" hidden="1">
      <c r="A851" s="1554"/>
      <c r="B851" s="359"/>
      <c r="C851" s="660"/>
      <c r="D851" s="660"/>
      <c r="E851" s="660"/>
      <c r="F851" s="232"/>
      <c r="G851" s="232"/>
      <c r="H851" s="231">
        <f t="shared" si="26"/>
        <v>0</v>
      </c>
      <c r="I851" s="231">
        <f t="shared" si="27"/>
        <v>0</v>
      </c>
    </row>
    <row r="852" spans="1:9" s="7" customFormat="1" hidden="1">
      <c r="A852" s="1554"/>
      <c r="B852" s="359"/>
      <c r="C852" s="660"/>
      <c r="D852" s="660"/>
      <c r="E852" s="660"/>
      <c r="F852" s="232"/>
      <c r="G852" s="232"/>
      <c r="H852" s="231">
        <f t="shared" si="26"/>
        <v>0</v>
      </c>
      <c r="I852" s="231">
        <f t="shared" si="27"/>
        <v>0</v>
      </c>
    </row>
    <row r="853" spans="1:9" s="376" customFormat="1" hidden="1">
      <c r="A853" s="1554"/>
      <c r="B853" s="371"/>
      <c r="C853" s="678"/>
      <c r="D853" s="678"/>
      <c r="E853" s="678"/>
      <c r="F853" s="375"/>
      <c r="G853" s="375"/>
      <c r="H853" s="231">
        <f t="shared" si="26"/>
        <v>0</v>
      </c>
      <c r="I853" s="231">
        <f t="shared" si="27"/>
        <v>0</v>
      </c>
    </row>
    <row r="854" spans="1:9" s="7" customFormat="1" hidden="1">
      <c r="A854" s="1554"/>
      <c r="B854" s="359"/>
      <c r="C854" s="660"/>
      <c r="D854" s="660"/>
      <c r="E854" s="660"/>
      <c r="F854" s="232"/>
      <c r="G854" s="232"/>
      <c r="H854" s="231">
        <f t="shared" si="26"/>
        <v>0</v>
      </c>
      <c r="I854" s="231">
        <f t="shared" si="27"/>
        <v>0</v>
      </c>
    </row>
    <row r="855" spans="1:9" s="7" customFormat="1" hidden="1">
      <c r="A855" s="1554"/>
      <c r="B855" s="359"/>
      <c r="C855" s="694"/>
      <c r="D855" s="660"/>
      <c r="E855" s="660"/>
      <c r="F855" s="232"/>
      <c r="G855" s="232"/>
      <c r="H855" s="231">
        <f t="shared" si="26"/>
        <v>0</v>
      </c>
      <c r="I855" s="231">
        <f t="shared" si="27"/>
        <v>0</v>
      </c>
    </row>
    <row r="856" spans="1:9" s="7" customFormat="1" hidden="1">
      <c r="A856" s="1554"/>
      <c r="B856" s="359"/>
      <c r="C856" s="694"/>
      <c r="D856" s="678"/>
      <c r="E856" s="660"/>
      <c r="F856" s="232"/>
      <c r="G856" s="232"/>
      <c r="H856" s="231">
        <f t="shared" si="26"/>
        <v>0</v>
      </c>
      <c r="I856" s="231">
        <f t="shared" si="27"/>
        <v>0</v>
      </c>
    </row>
    <row r="857" spans="1:9" s="7" customFormat="1" hidden="1">
      <c r="A857" s="1554"/>
      <c r="B857" s="359"/>
      <c r="C857" s="694"/>
      <c r="D857" s="660"/>
      <c r="E857" s="660"/>
      <c r="F857" s="232"/>
      <c r="G857" s="232"/>
      <c r="H857" s="231">
        <f t="shared" si="26"/>
        <v>0</v>
      </c>
      <c r="I857" s="231">
        <f t="shared" si="27"/>
        <v>0</v>
      </c>
    </row>
    <row r="858" spans="1:9" s="7" customFormat="1" hidden="1">
      <c r="A858" s="1554"/>
      <c r="B858" s="359"/>
      <c r="C858" s="694"/>
      <c r="D858" s="660"/>
      <c r="E858" s="660"/>
      <c r="F858" s="232"/>
      <c r="G858" s="232"/>
      <c r="H858" s="231">
        <f t="shared" si="26"/>
        <v>0</v>
      </c>
      <c r="I858" s="231">
        <f t="shared" si="27"/>
        <v>0</v>
      </c>
    </row>
    <row r="859" spans="1:9" s="7" customFormat="1" hidden="1">
      <c r="A859" s="1554"/>
      <c r="B859" s="384"/>
      <c r="C859" s="695"/>
      <c r="D859" s="695"/>
      <c r="E859" s="696"/>
      <c r="F859" s="232"/>
      <c r="G859" s="232"/>
      <c r="H859" s="231">
        <f t="shared" si="26"/>
        <v>0</v>
      </c>
      <c r="I859" s="231">
        <f t="shared" si="27"/>
        <v>0</v>
      </c>
    </row>
    <row r="860" spans="1:9" s="7" customFormat="1" hidden="1">
      <c r="A860" s="1554"/>
      <c r="B860" s="385"/>
      <c r="C860" s="638"/>
      <c r="D860" s="638"/>
      <c r="E860" s="639"/>
      <c r="F860" s="232"/>
      <c r="G860" s="232"/>
      <c r="H860" s="231">
        <f t="shared" si="26"/>
        <v>0</v>
      </c>
      <c r="I860" s="231">
        <f t="shared" si="27"/>
        <v>0</v>
      </c>
    </row>
    <row r="861" spans="1:9" s="7" customFormat="1" hidden="1">
      <c r="A861" s="1554"/>
      <c r="B861" s="385"/>
      <c r="C861" s="638"/>
      <c r="D861" s="638"/>
      <c r="E861" s="639"/>
      <c r="F861" s="232"/>
      <c r="G861" s="232"/>
      <c r="H861" s="231">
        <f t="shared" si="26"/>
        <v>0</v>
      </c>
      <c r="I861" s="231">
        <f t="shared" si="27"/>
        <v>0</v>
      </c>
    </row>
    <row r="862" spans="1:9" s="7" customFormat="1" hidden="1">
      <c r="A862" s="1554"/>
      <c r="B862" s="390"/>
      <c r="C862" s="651"/>
      <c r="D862" s="652"/>
      <c r="E862" s="653"/>
      <c r="F862" s="232"/>
      <c r="G862" s="232"/>
      <c r="H862" s="231">
        <f t="shared" si="26"/>
        <v>0</v>
      </c>
      <c r="I862" s="231">
        <f t="shared" si="27"/>
        <v>0</v>
      </c>
    </row>
    <row r="863" spans="1:9" s="7" customFormat="1" hidden="1">
      <c r="A863" s="1554"/>
      <c r="B863" s="390"/>
      <c r="C863" s="672"/>
      <c r="D863" s="652"/>
      <c r="E863" s="653"/>
      <c r="F863" s="232"/>
      <c r="G863" s="232"/>
      <c r="H863" s="231">
        <f t="shared" si="26"/>
        <v>0</v>
      </c>
      <c r="I863" s="231">
        <f t="shared" si="27"/>
        <v>0</v>
      </c>
    </row>
    <row r="864" spans="1:9" s="7" customFormat="1" hidden="1">
      <c r="A864" s="1554"/>
      <c r="B864" s="390"/>
      <c r="C864" s="672"/>
      <c r="D864" s="652"/>
      <c r="E864" s="653"/>
      <c r="F864" s="232"/>
      <c r="G864" s="232"/>
      <c r="H864" s="231">
        <f t="shared" si="26"/>
        <v>0</v>
      </c>
      <c r="I864" s="231">
        <f t="shared" si="27"/>
        <v>0</v>
      </c>
    </row>
    <row r="865" spans="1:12" s="7" customFormat="1" hidden="1">
      <c r="A865" s="1554"/>
      <c r="B865" s="359"/>
      <c r="C865" s="694"/>
      <c r="D865" s="660"/>
      <c r="E865" s="660"/>
      <c r="F865" s="232"/>
      <c r="G865" s="232"/>
      <c r="H865" s="231">
        <f t="shared" si="26"/>
        <v>0</v>
      </c>
      <c r="I865" s="231">
        <f t="shared" si="27"/>
        <v>0</v>
      </c>
    </row>
    <row r="866" spans="1:12" s="7" customFormat="1" hidden="1">
      <c r="A866" s="1554"/>
      <c r="B866" s="359"/>
      <c r="C866" s="694"/>
      <c r="D866" s="660"/>
      <c r="E866" s="660"/>
      <c r="F866" s="232"/>
      <c r="G866" s="232"/>
      <c r="H866" s="231">
        <f t="shared" si="26"/>
        <v>0</v>
      </c>
      <c r="I866" s="231">
        <f t="shared" si="27"/>
        <v>0</v>
      </c>
    </row>
    <row r="867" spans="1:12" s="7" customFormat="1" hidden="1">
      <c r="A867" s="1554"/>
      <c r="B867" s="359"/>
      <c r="C867" s="694"/>
      <c r="D867" s="660"/>
      <c r="E867" s="660"/>
      <c r="F867" s="232"/>
      <c r="G867" s="232"/>
      <c r="H867" s="231">
        <f t="shared" si="26"/>
        <v>0</v>
      </c>
      <c r="I867" s="231">
        <f t="shared" si="27"/>
        <v>0</v>
      </c>
    </row>
    <row r="868" spans="1:12" s="7" customFormat="1" hidden="1">
      <c r="A868" s="1554"/>
      <c r="B868" s="359"/>
      <c r="C868" s="694"/>
      <c r="D868" s="660"/>
      <c r="E868" s="660"/>
      <c r="F868" s="232"/>
      <c r="G868" s="232"/>
      <c r="H868" s="231">
        <f t="shared" si="26"/>
        <v>0</v>
      </c>
      <c r="I868" s="231">
        <f t="shared" si="27"/>
        <v>0</v>
      </c>
    </row>
    <row r="869" spans="1:12" s="7" customFormat="1" hidden="1">
      <c r="A869" s="1554"/>
      <c r="B869" s="359"/>
      <c r="C869" s="694"/>
      <c r="D869" s="660"/>
      <c r="E869" s="660"/>
      <c r="F869" s="232"/>
      <c r="G869" s="232"/>
      <c r="H869" s="231">
        <f t="shared" si="26"/>
        <v>0</v>
      </c>
      <c r="I869" s="231">
        <f t="shared" si="27"/>
        <v>0</v>
      </c>
    </row>
    <row r="870" spans="1:12" s="7" customFormat="1" hidden="1">
      <c r="A870" s="1554"/>
      <c r="B870" s="359"/>
      <c r="C870" s="694"/>
      <c r="D870" s="660"/>
      <c r="E870" s="660"/>
      <c r="F870" s="232"/>
      <c r="G870" s="232"/>
      <c r="H870" s="231">
        <f t="shared" si="26"/>
        <v>0</v>
      </c>
      <c r="I870" s="231">
        <f t="shared" si="27"/>
        <v>0</v>
      </c>
    </row>
    <row r="871" spans="1:12" s="7" customFormat="1" hidden="1">
      <c r="A871" s="1554"/>
      <c r="B871" s="359"/>
      <c r="C871" s="694"/>
      <c r="D871" s="660"/>
      <c r="E871" s="660"/>
      <c r="F871" s="232"/>
      <c r="G871" s="232"/>
      <c r="H871" s="231">
        <f t="shared" si="26"/>
        <v>0</v>
      </c>
      <c r="I871" s="231">
        <f t="shared" si="27"/>
        <v>0</v>
      </c>
    </row>
    <row r="872" spans="1:12" s="7" customFormat="1" hidden="1">
      <c r="A872" s="1554"/>
      <c r="B872" s="359"/>
      <c r="C872" s="694"/>
      <c r="D872" s="660"/>
      <c r="E872" s="660"/>
      <c r="F872" s="232"/>
      <c r="G872" s="232"/>
      <c r="H872" s="231">
        <f t="shared" si="26"/>
        <v>0</v>
      </c>
      <c r="I872" s="231">
        <f t="shared" si="27"/>
        <v>0</v>
      </c>
    </row>
    <row r="873" spans="1:12" s="7" customFormat="1" hidden="1">
      <c r="A873" s="1554"/>
      <c r="B873" s="359"/>
      <c r="C873" s="694"/>
      <c r="D873" s="660"/>
      <c r="E873" s="660"/>
      <c r="F873" s="232"/>
      <c r="G873" s="232"/>
      <c r="H873" s="231">
        <f t="shared" si="26"/>
        <v>0</v>
      </c>
      <c r="I873" s="231">
        <f t="shared" si="27"/>
        <v>0</v>
      </c>
    </row>
    <row r="874" spans="1:12" s="7" customFormat="1" hidden="1">
      <c r="A874" s="1554"/>
      <c r="B874" s="359"/>
      <c r="C874" s="694"/>
      <c r="D874" s="660"/>
      <c r="E874" s="660"/>
      <c r="F874" s="232"/>
      <c r="G874" s="232"/>
      <c r="H874" s="231">
        <f t="shared" si="26"/>
        <v>0</v>
      </c>
      <c r="I874" s="231">
        <f t="shared" si="27"/>
        <v>0</v>
      </c>
    </row>
    <row r="875" spans="1:12" s="7" customFormat="1" hidden="1">
      <c r="A875" s="1554"/>
      <c r="B875" s="359"/>
      <c r="C875" s="694"/>
      <c r="D875" s="660"/>
      <c r="E875" s="660"/>
      <c r="F875" s="232"/>
      <c r="G875" s="232"/>
      <c r="H875" s="231">
        <f t="shared" si="26"/>
        <v>0</v>
      </c>
      <c r="I875" s="231">
        <f t="shared" si="27"/>
        <v>0</v>
      </c>
    </row>
    <row r="876" spans="1:12" s="7" customFormat="1" ht="18" hidden="1" customHeight="1">
      <c r="A876" s="1554"/>
      <c r="B876" s="107"/>
      <c r="C876" s="256"/>
      <c r="D876" s="256"/>
      <c r="E876" s="256"/>
      <c r="F876" s="232"/>
      <c r="G876" s="232"/>
      <c r="H876" s="231">
        <f t="shared" si="26"/>
        <v>0</v>
      </c>
      <c r="I876" s="231">
        <f t="shared" si="27"/>
        <v>0</v>
      </c>
    </row>
    <row r="877" spans="1:12" s="7" customFormat="1" ht="18" hidden="1" customHeight="1">
      <c r="A877" s="1554"/>
      <c r="B877" s="107"/>
      <c r="C877" s="654"/>
      <c r="D877" s="686"/>
      <c r="E877" s="686"/>
      <c r="F877" s="232"/>
      <c r="G877" s="232"/>
      <c r="H877" s="231">
        <f t="shared" si="26"/>
        <v>0</v>
      </c>
      <c r="I877" s="231">
        <f t="shared" si="27"/>
        <v>0</v>
      </c>
    </row>
    <row r="878" spans="1:12" s="7" customFormat="1" ht="18" hidden="1" customHeight="1">
      <c r="A878" s="1554"/>
      <c r="B878" s="107"/>
      <c r="C878" s="654"/>
      <c r="D878" s="686"/>
      <c r="E878" s="686"/>
      <c r="F878" s="232"/>
      <c r="G878" s="232"/>
      <c r="H878" s="231">
        <f t="shared" si="26"/>
        <v>0</v>
      </c>
      <c r="I878" s="231">
        <f t="shared" si="27"/>
        <v>0</v>
      </c>
    </row>
    <row r="879" spans="1:12" s="7" customFormat="1" ht="18" hidden="1" customHeight="1">
      <c r="A879" s="1554"/>
      <c r="B879" s="268"/>
      <c r="C879" s="656"/>
      <c r="D879" s="687"/>
      <c r="E879" s="687"/>
      <c r="F879" s="232"/>
      <c r="G879" s="232"/>
      <c r="H879" s="231">
        <f t="shared" si="26"/>
        <v>0</v>
      </c>
      <c r="I879" s="231">
        <f t="shared" si="27"/>
        <v>0</v>
      </c>
    </row>
    <row r="880" spans="1:12">
      <c r="A880" s="1566"/>
      <c r="B880" s="209" t="s">
        <v>985</v>
      </c>
      <c r="C880" s="581">
        <f>SUM(C820:C879)</f>
        <v>905631</v>
      </c>
      <c r="D880" s="581">
        <f>SUM(D820:D879)</f>
        <v>708531</v>
      </c>
      <c r="E880" s="581">
        <f>SUM(E820:E879)</f>
        <v>197100</v>
      </c>
      <c r="F880" s="263">
        <f>SUM(F820:F834)</f>
        <v>0</v>
      </c>
      <c r="G880" s="236">
        <f>SUM(G820:G834)</f>
        <v>0</v>
      </c>
      <c r="H880" s="1497">
        <f t="shared" si="26"/>
        <v>0</v>
      </c>
      <c r="I880" s="1497">
        <f t="shared" si="27"/>
        <v>1811262</v>
      </c>
      <c r="J880" s="1440"/>
      <c r="K880" s="1490"/>
      <c r="L880" s="1490"/>
    </row>
    <row r="881" spans="1:12" ht="75">
      <c r="A881" s="1566" t="s">
        <v>1169</v>
      </c>
      <c r="B881" s="181" t="s">
        <v>772</v>
      </c>
      <c r="C881" s="589">
        <v>697500</v>
      </c>
      <c r="D881" s="589">
        <v>697500</v>
      </c>
      <c r="E881" s="510"/>
      <c r="F881" s="232"/>
      <c r="G881" s="232"/>
      <c r="H881" s="1497">
        <f t="shared" si="26"/>
        <v>0</v>
      </c>
      <c r="I881" s="1497">
        <f t="shared" si="27"/>
        <v>1395000</v>
      </c>
      <c r="J881" s="1440"/>
      <c r="K881" s="1490"/>
      <c r="L881" s="1490"/>
    </row>
    <row r="882" spans="1:12" ht="37.5">
      <c r="A882" s="1566"/>
      <c r="B882" s="369" t="s">
        <v>1273</v>
      </c>
      <c r="C882" s="585">
        <v>304136</v>
      </c>
      <c r="D882" s="585">
        <v>304136</v>
      </c>
      <c r="E882" s="590"/>
      <c r="F882" s="232"/>
      <c r="G882" s="232"/>
      <c r="H882" s="1497">
        <f t="shared" si="26"/>
        <v>0</v>
      </c>
      <c r="I882" s="1497">
        <f t="shared" si="27"/>
        <v>608272</v>
      </c>
      <c r="J882" s="1440"/>
      <c r="K882" s="1490"/>
      <c r="L882" s="1490"/>
    </row>
    <row r="883" spans="1:12" s="7" customFormat="1" ht="37.5">
      <c r="A883" s="1558"/>
      <c r="B883" s="1220" t="s">
        <v>1337</v>
      </c>
      <c r="C883" s="1214">
        <v>50000</v>
      </c>
      <c r="D883" s="256">
        <v>50000</v>
      </c>
      <c r="E883" s="256"/>
      <c r="F883" s="232"/>
      <c r="G883" s="232"/>
      <c r="H883" s="1497">
        <f t="shared" si="26"/>
        <v>0</v>
      </c>
      <c r="I883" s="1497">
        <f t="shared" si="27"/>
        <v>100000</v>
      </c>
      <c r="J883" s="1435"/>
      <c r="K883" s="1491"/>
      <c r="L883" s="1491"/>
    </row>
    <row r="884" spans="1:12" s="7" customFormat="1" ht="37.5">
      <c r="A884" s="1558"/>
      <c r="B884" s="1220" t="s">
        <v>1338</v>
      </c>
      <c r="C884" s="1214">
        <v>100000</v>
      </c>
      <c r="D884" s="256">
        <v>100000</v>
      </c>
      <c r="E884" s="256"/>
      <c r="F884" s="232"/>
      <c r="G884" s="232"/>
      <c r="H884" s="1497">
        <f t="shared" si="26"/>
        <v>0</v>
      </c>
      <c r="I884" s="1497">
        <f t="shared" si="27"/>
        <v>200000</v>
      </c>
      <c r="J884" s="1435"/>
      <c r="K884" s="1491"/>
      <c r="L884" s="1491"/>
    </row>
    <row r="885" spans="1:12" s="7" customFormat="1" ht="56.25">
      <c r="A885" s="1558"/>
      <c r="B885" s="1220" t="s">
        <v>1339</v>
      </c>
      <c r="C885" s="1214">
        <v>320000</v>
      </c>
      <c r="D885" s="256">
        <v>73000</v>
      </c>
      <c r="E885" s="256">
        <v>247000</v>
      </c>
      <c r="F885" s="232"/>
      <c r="G885" s="232"/>
      <c r="H885" s="1497">
        <f t="shared" si="26"/>
        <v>0</v>
      </c>
      <c r="I885" s="1497">
        <f t="shared" si="27"/>
        <v>640000</v>
      </c>
      <c r="J885" s="1435"/>
      <c r="K885" s="1491"/>
      <c r="L885" s="1491"/>
    </row>
    <row r="886" spans="1:12" s="7" customFormat="1" ht="56.25">
      <c r="A886" s="1558"/>
      <c r="B886" s="107" t="s">
        <v>1572</v>
      </c>
      <c r="C886" s="817">
        <v>22600</v>
      </c>
      <c r="D886" s="817"/>
      <c r="E886" s="184">
        <v>22600</v>
      </c>
      <c r="F886" s="232"/>
      <c r="G886" s="232"/>
      <c r="H886" s="1497">
        <f t="shared" si="26"/>
        <v>0</v>
      </c>
      <c r="I886" s="1497">
        <f t="shared" si="27"/>
        <v>45200</v>
      </c>
      <c r="J886" s="1435"/>
      <c r="K886" s="1491"/>
      <c r="L886" s="1491"/>
    </row>
    <row r="887" spans="1:12" s="7" customFormat="1" ht="37.5">
      <c r="A887" s="1558"/>
      <c r="B887" s="107" t="s">
        <v>1573</v>
      </c>
      <c r="C887" s="817">
        <v>16500</v>
      </c>
      <c r="D887" s="817"/>
      <c r="E887" s="184">
        <v>16500</v>
      </c>
      <c r="F887" s="232"/>
      <c r="G887" s="232"/>
      <c r="H887" s="1497">
        <f t="shared" si="26"/>
        <v>0</v>
      </c>
      <c r="I887" s="1497">
        <f t="shared" si="27"/>
        <v>33000</v>
      </c>
      <c r="J887" s="1435"/>
      <c r="K887" s="1491"/>
      <c r="L887" s="1491"/>
    </row>
    <row r="888" spans="1:12" s="7" customFormat="1" ht="75">
      <c r="A888" s="1558"/>
      <c r="B888" s="107" t="s">
        <v>1574</v>
      </c>
      <c r="C888" s="817">
        <v>17000</v>
      </c>
      <c r="D888" s="817"/>
      <c r="E888" s="184">
        <v>17000</v>
      </c>
      <c r="F888" s="232"/>
      <c r="G888" s="232"/>
      <c r="H888" s="1497">
        <f t="shared" si="26"/>
        <v>0</v>
      </c>
      <c r="I888" s="1497">
        <f t="shared" si="27"/>
        <v>34000</v>
      </c>
      <c r="J888" s="1435"/>
      <c r="K888" s="1491"/>
      <c r="L888" s="1491"/>
    </row>
    <row r="889" spans="1:12" s="7" customFormat="1" ht="131.25">
      <c r="A889" s="1558"/>
      <c r="B889" s="107" t="s">
        <v>1575</v>
      </c>
      <c r="C889" s="817">
        <v>18000</v>
      </c>
      <c r="D889" s="817">
        <v>18000</v>
      </c>
      <c r="E889" s="184"/>
      <c r="F889" s="232"/>
      <c r="G889" s="232"/>
      <c r="H889" s="1497">
        <f t="shared" si="26"/>
        <v>0</v>
      </c>
      <c r="I889" s="1497">
        <f t="shared" si="27"/>
        <v>36000</v>
      </c>
      <c r="J889" s="1435"/>
      <c r="K889" s="1491"/>
      <c r="L889" s="1491"/>
    </row>
    <row r="890" spans="1:12" s="7" customFormat="1" ht="93.75">
      <c r="A890" s="1558"/>
      <c r="B890" s="107" t="s">
        <v>1576</v>
      </c>
      <c r="C890" s="817">
        <v>6500</v>
      </c>
      <c r="D890" s="817">
        <v>6500</v>
      </c>
      <c r="E890" s="184"/>
      <c r="F890" s="232"/>
      <c r="G890" s="232"/>
      <c r="H890" s="1497">
        <f t="shared" si="26"/>
        <v>0</v>
      </c>
      <c r="I890" s="1497">
        <f t="shared" si="27"/>
        <v>13000</v>
      </c>
      <c r="J890" s="1435"/>
      <c r="K890" s="1491"/>
      <c r="L890" s="1491"/>
    </row>
    <row r="891" spans="1:12" s="7" customFormat="1" ht="75">
      <c r="A891" s="1558"/>
      <c r="B891" s="107" t="s">
        <v>1577</v>
      </c>
      <c r="C891" s="817">
        <v>22500</v>
      </c>
      <c r="D891" s="817"/>
      <c r="E891" s="184">
        <v>22500</v>
      </c>
      <c r="F891" s="232"/>
      <c r="G891" s="232"/>
      <c r="H891" s="1497">
        <f t="shared" si="26"/>
        <v>0</v>
      </c>
      <c r="I891" s="1497">
        <f t="shared" si="27"/>
        <v>45000</v>
      </c>
      <c r="J891" s="1435"/>
      <c r="K891" s="1491"/>
      <c r="L891" s="1491"/>
    </row>
    <row r="892" spans="1:12" s="7" customFormat="1" ht="75">
      <c r="A892" s="1558"/>
      <c r="B892" s="107" t="s">
        <v>1578</v>
      </c>
      <c r="C892" s="817">
        <v>16800</v>
      </c>
      <c r="D892" s="817"/>
      <c r="E892" s="184">
        <v>16800</v>
      </c>
      <c r="F892" s="232"/>
      <c r="G892" s="232"/>
      <c r="H892" s="1497">
        <f t="shared" si="26"/>
        <v>0</v>
      </c>
      <c r="I892" s="1497">
        <f t="shared" si="27"/>
        <v>33600</v>
      </c>
      <c r="J892" s="1435"/>
      <c r="K892" s="1491"/>
      <c r="L892" s="1491"/>
    </row>
    <row r="893" spans="1:12" s="7" customFormat="1" ht="75">
      <c r="A893" s="1558"/>
      <c r="B893" s="107" t="s">
        <v>1579</v>
      </c>
      <c r="C893" s="817">
        <v>33402</v>
      </c>
      <c r="D893" s="817">
        <v>33402</v>
      </c>
      <c r="E893" s="184"/>
      <c r="F893" s="232"/>
      <c r="G893" s="232"/>
      <c r="H893" s="1497">
        <f t="shared" si="26"/>
        <v>0</v>
      </c>
      <c r="I893" s="1497">
        <f t="shared" si="27"/>
        <v>66804</v>
      </c>
      <c r="J893" s="1435"/>
      <c r="K893" s="1491"/>
      <c r="L893" s="1491"/>
    </row>
    <row r="894" spans="1:12" s="7" customFormat="1" ht="56.25">
      <c r="A894" s="1558"/>
      <c r="B894" s="107" t="s">
        <v>1580</v>
      </c>
      <c r="C894" s="184">
        <v>4000</v>
      </c>
      <c r="D894" s="184">
        <v>4000</v>
      </c>
      <c r="E894" s="184"/>
      <c r="F894" s="232"/>
      <c r="G894" s="232"/>
      <c r="H894" s="1497">
        <f t="shared" si="26"/>
        <v>0</v>
      </c>
      <c r="I894" s="1497">
        <f t="shared" si="27"/>
        <v>8000</v>
      </c>
      <c r="J894" s="1435"/>
      <c r="K894" s="1491"/>
      <c r="L894" s="1491"/>
    </row>
    <row r="895" spans="1:12" s="7" customFormat="1" ht="56.25">
      <c r="A895" s="1558"/>
      <c r="B895" s="107" t="s">
        <v>1581</v>
      </c>
      <c r="C895" s="184">
        <v>13000</v>
      </c>
      <c r="D895" s="184"/>
      <c r="E895" s="184">
        <v>13000</v>
      </c>
      <c r="F895" s="232"/>
      <c r="G895" s="232"/>
      <c r="H895" s="1497">
        <f t="shared" si="26"/>
        <v>0</v>
      </c>
      <c r="I895" s="1497">
        <f t="shared" si="27"/>
        <v>26000</v>
      </c>
      <c r="J895" s="1435"/>
      <c r="K895" s="1491"/>
      <c r="L895" s="1491"/>
    </row>
    <row r="896" spans="1:12" s="7" customFormat="1" ht="37.5">
      <c r="A896" s="1558"/>
      <c r="B896" s="107" t="s">
        <v>1582</v>
      </c>
      <c r="C896" s="184">
        <v>26000</v>
      </c>
      <c r="D896" s="184">
        <v>26000</v>
      </c>
      <c r="E896" s="184"/>
      <c r="F896" s="232"/>
      <c r="G896" s="232"/>
      <c r="H896" s="1497">
        <f t="shared" si="26"/>
        <v>0</v>
      </c>
      <c r="I896" s="1497">
        <f t="shared" si="27"/>
        <v>52000</v>
      </c>
      <c r="J896" s="1435"/>
      <c r="K896" s="1491"/>
      <c r="L896" s="1491"/>
    </row>
    <row r="897" spans="1:9" s="7" customFormat="1" hidden="1">
      <c r="A897" s="1558"/>
      <c r="B897" s="371"/>
      <c r="C897" s="844"/>
      <c r="D897" s="862"/>
      <c r="E897" s="862"/>
      <c r="F897" s="232"/>
      <c r="G897" s="232"/>
      <c r="H897" s="231">
        <f t="shared" si="26"/>
        <v>0</v>
      </c>
      <c r="I897" s="231">
        <f t="shared" si="27"/>
        <v>0</v>
      </c>
    </row>
    <row r="898" spans="1:9" s="7" customFormat="1" hidden="1">
      <c r="A898" s="1558"/>
      <c r="B898" s="857"/>
      <c r="C898" s="833"/>
      <c r="D898" s="863"/>
      <c r="E898" s="863"/>
      <c r="F898" s="232"/>
      <c r="G898" s="232"/>
      <c r="H898" s="231">
        <f t="shared" si="26"/>
        <v>0</v>
      </c>
      <c r="I898" s="231">
        <f t="shared" si="27"/>
        <v>0</v>
      </c>
    </row>
    <row r="899" spans="1:9" s="7" customFormat="1" hidden="1">
      <c r="A899" s="1558"/>
      <c r="B899" s="371"/>
      <c r="C899" s="846"/>
      <c r="D899" s="846"/>
      <c r="E899" s="849"/>
      <c r="F899" s="232"/>
      <c r="G899" s="232"/>
      <c r="H899" s="231">
        <f t="shared" si="26"/>
        <v>0</v>
      </c>
      <c r="I899" s="231">
        <f t="shared" si="27"/>
        <v>0</v>
      </c>
    </row>
    <row r="900" spans="1:9" s="7" customFormat="1" hidden="1">
      <c r="A900" s="1558"/>
      <c r="B900" s="384"/>
      <c r="C900" s="695"/>
      <c r="D900" s="695"/>
      <c r="E900" s="696"/>
      <c r="F900" s="232"/>
      <c r="G900" s="232"/>
      <c r="H900" s="231">
        <f t="shared" si="26"/>
        <v>0</v>
      </c>
      <c r="I900" s="231">
        <f t="shared" si="27"/>
        <v>0</v>
      </c>
    </row>
    <row r="901" spans="1:9" s="7" customFormat="1" hidden="1">
      <c r="A901" s="1558"/>
      <c r="B901" s="385"/>
      <c r="C901" s="638"/>
      <c r="D901" s="638"/>
      <c r="E901" s="639"/>
      <c r="F901" s="232"/>
      <c r="G901" s="232"/>
      <c r="H901" s="231">
        <f t="shared" si="26"/>
        <v>0</v>
      </c>
      <c r="I901" s="231">
        <f t="shared" si="27"/>
        <v>0</v>
      </c>
    </row>
    <row r="902" spans="1:9" s="7" customFormat="1" hidden="1">
      <c r="A902" s="1558"/>
      <c r="B902" s="385"/>
      <c r="C902" s="638"/>
      <c r="D902" s="638"/>
      <c r="E902" s="639"/>
      <c r="F902" s="232"/>
      <c r="G902" s="232"/>
      <c r="H902" s="231">
        <f t="shared" si="26"/>
        <v>0</v>
      </c>
      <c r="I902" s="231">
        <f t="shared" si="27"/>
        <v>0</v>
      </c>
    </row>
    <row r="903" spans="1:9" s="7" customFormat="1" hidden="1">
      <c r="A903" s="1558"/>
      <c r="B903" s="385"/>
      <c r="C903" s="663"/>
      <c r="D903" s="663"/>
      <c r="E903" s="663"/>
      <c r="F903" s="232"/>
      <c r="G903" s="232"/>
      <c r="H903" s="231">
        <f t="shared" si="26"/>
        <v>0</v>
      </c>
      <c r="I903" s="231">
        <f t="shared" si="27"/>
        <v>0</v>
      </c>
    </row>
    <row r="904" spans="1:9" s="7" customFormat="1" hidden="1">
      <c r="A904" s="1554"/>
      <c r="B904" s="390"/>
      <c r="C904" s="672"/>
      <c r="D904" s="652"/>
      <c r="E904" s="653"/>
      <c r="F904" s="232"/>
      <c r="G904" s="232"/>
      <c r="H904" s="231">
        <f t="shared" si="26"/>
        <v>0</v>
      </c>
      <c r="I904" s="231">
        <f t="shared" si="27"/>
        <v>0</v>
      </c>
    </row>
    <row r="905" spans="1:9" s="7" customFormat="1" ht="18" hidden="1" customHeight="1">
      <c r="A905" s="1554"/>
      <c r="B905" s="107"/>
      <c r="C905" s="654"/>
      <c r="D905" s="654"/>
      <c r="E905" s="256"/>
      <c r="F905" s="232"/>
      <c r="G905" s="232"/>
      <c r="H905" s="231">
        <f t="shared" ref="H905:H968" si="28">E905+D905-C905</f>
        <v>0</v>
      </c>
      <c r="I905" s="231">
        <f t="shared" ref="I905:I968" si="29">SUM(C905:E905)</f>
        <v>0</v>
      </c>
    </row>
    <row r="906" spans="1:9" s="7" customFormat="1" ht="18" hidden="1" customHeight="1">
      <c r="A906" s="1554"/>
      <c r="B906" s="107"/>
      <c r="C906" s="654"/>
      <c r="D906" s="654"/>
      <c r="E906" s="256"/>
      <c r="F906" s="232"/>
      <c r="G906" s="232"/>
      <c r="H906" s="231">
        <f t="shared" si="28"/>
        <v>0</v>
      </c>
      <c r="I906" s="231">
        <f t="shared" si="29"/>
        <v>0</v>
      </c>
    </row>
    <row r="907" spans="1:9" s="7" customFormat="1" ht="18" hidden="1" customHeight="1">
      <c r="A907" s="1554"/>
      <c r="B907" s="107"/>
      <c r="C907" s="654"/>
      <c r="D907" s="654"/>
      <c r="E907" s="256"/>
      <c r="F907" s="232"/>
      <c r="G907" s="232"/>
      <c r="H907" s="231">
        <f t="shared" si="28"/>
        <v>0</v>
      </c>
      <c r="I907" s="231">
        <f t="shared" si="29"/>
        <v>0</v>
      </c>
    </row>
    <row r="908" spans="1:9" s="7" customFormat="1" ht="18" hidden="1" customHeight="1">
      <c r="A908" s="1554"/>
      <c r="B908" s="107"/>
      <c r="C908" s="654"/>
      <c r="D908" s="654"/>
      <c r="E908" s="256"/>
      <c r="F908" s="232"/>
      <c r="G908" s="232"/>
      <c r="H908" s="231">
        <f t="shared" si="28"/>
        <v>0</v>
      </c>
      <c r="I908" s="231">
        <f t="shared" si="29"/>
        <v>0</v>
      </c>
    </row>
    <row r="909" spans="1:9" s="7" customFormat="1" ht="18" hidden="1" customHeight="1">
      <c r="A909" s="1554"/>
      <c r="B909" s="107"/>
      <c r="C909" s="654"/>
      <c r="D909" s="654"/>
      <c r="E909" s="256"/>
      <c r="F909" s="232"/>
      <c r="G909" s="232"/>
      <c r="H909" s="231">
        <f t="shared" si="28"/>
        <v>0</v>
      </c>
      <c r="I909" s="231">
        <f t="shared" si="29"/>
        <v>0</v>
      </c>
    </row>
    <row r="910" spans="1:9" s="7" customFormat="1" ht="18" hidden="1" customHeight="1">
      <c r="A910" s="1554"/>
      <c r="B910" s="107"/>
      <c r="C910" s="654"/>
      <c r="D910" s="654"/>
      <c r="E910" s="256"/>
      <c r="F910" s="232"/>
      <c r="G910" s="232"/>
      <c r="H910" s="231">
        <f t="shared" si="28"/>
        <v>0</v>
      </c>
      <c r="I910" s="231">
        <f t="shared" si="29"/>
        <v>0</v>
      </c>
    </row>
    <row r="911" spans="1:9" s="7" customFormat="1" ht="18" hidden="1" customHeight="1">
      <c r="A911" s="1554"/>
      <c r="B911" s="107"/>
      <c r="C911" s="654"/>
      <c r="D911" s="654"/>
      <c r="E911" s="256"/>
      <c r="F911" s="232"/>
      <c r="G911" s="232"/>
      <c r="H911" s="231">
        <f t="shared" si="28"/>
        <v>0</v>
      </c>
      <c r="I911" s="231">
        <f t="shared" si="29"/>
        <v>0</v>
      </c>
    </row>
    <row r="912" spans="1:9" s="7" customFormat="1" ht="18" hidden="1" customHeight="1">
      <c r="A912" s="1554"/>
      <c r="B912" s="107"/>
      <c r="C912" s="654"/>
      <c r="D912" s="654"/>
      <c r="E912" s="256"/>
      <c r="F912" s="232"/>
      <c r="G912" s="232"/>
      <c r="H912" s="231">
        <f t="shared" si="28"/>
        <v>0</v>
      </c>
      <c r="I912" s="231">
        <f t="shared" si="29"/>
        <v>0</v>
      </c>
    </row>
    <row r="913" spans="1:12" s="7" customFormat="1" ht="18" hidden="1" customHeight="1">
      <c r="A913" s="1554"/>
      <c r="B913" s="107"/>
      <c r="C913" s="654"/>
      <c r="D913" s="654"/>
      <c r="E913" s="256"/>
      <c r="F913" s="232"/>
      <c r="G913" s="232"/>
      <c r="H913" s="231">
        <f t="shared" si="28"/>
        <v>0</v>
      </c>
      <c r="I913" s="231">
        <f t="shared" si="29"/>
        <v>0</v>
      </c>
    </row>
    <row r="914" spans="1:12" s="7" customFormat="1" ht="18" hidden="1" customHeight="1">
      <c r="A914" s="1554"/>
      <c r="B914" s="107"/>
      <c r="C914" s="654"/>
      <c r="D914" s="654"/>
      <c r="E914" s="256"/>
      <c r="F914" s="232"/>
      <c r="G914" s="232"/>
      <c r="H914" s="231">
        <f t="shared" si="28"/>
        <v>0</v>
      </c>
      <c r="I914" s="231">
        <f t="shared" si="29"/>
        <v>0</v>
      </c>
    </row>
    <row r="915" spans="1:12" s="7" customFormat="1" ht="18" hidden="1" customHeight="1">
      <c r="A915" s="1554"/>
      <c r="B915" s="107"/>
      <c r="C915" s="654"/>
      <c r="D915" s="654"/>
      <c r="E915" s="256"/>
      <c r="F915" s="232"/>
      <c r="G915" s="232"/>
      <c r="H915" s="231">
        <f t="shared" si="28"/>
        <v>0</v>
      </c>
      <c r="I915" s="231">
        <f t="shared" si="29"/>
        <v>0</v>
      </c>
    </row>
    <row r="916" spans="1:12" s="7" customFormat="1" ht="18" hidden="1" customHeight="1">
      <c r="A916" s="1554"/>
      <c r="B916" s="107"/>
      <c r="C916" s="654"/>
      <c r="D916" s="654"/>
      <c r="E916" s="256"/>
      <c r="F916" s="232"/>
      <c r="G916" s="232"/>
      <c r="H916" s="231">
        <f t="shared" si="28"/>
        <v>0</v>
      </c>
      <c r="I916" s="231">
        <f t="shared" si="29"/>
        <v>0</v>
      </c>
    </row>
    <row r="917" spans="1:12" s="7" customFormat="1" ht="18" hidden="1" customHeight="1">
      <c r="A917" s="1554"/>
      <c r="B917" s="107"/>
      <c r="C917" s="654"/>
      <c r="D917" s="654"/>
      <c r="E917" s="256"/>
      <c r="F917" s="232"/>
      <c r="G917" s="232"/>
      <c r="H917" s="231">
        <f t="shared" si="28"/>
        <v>0</v>
      </c>
      <c r="I917" s="231">
        <f t="shared" si="29"/>
        <v>0</v>
      </c>
    </row>
    <row r="918" spans="1:12" s="7" customFormat="1" ht="18" hidden="1" customHeight="1">
      <c r="A918" s="1554"/>
      <c r="B918" s="268"/>
      <c r="C918" s="656"/>
      <c r="D918" s="656"/>
      <c r="E918" s="657"/>
      <c r="F918" s="232"/>
      <c r="G918" s="232"/>
      <c r="H918" s="231">
        <f t="shared" si="28"/>
        <v>0</v>
      </c>
      <c r="I918" s="231">
        <f t="shared" si="29"/>
        <v>0</v>
      </c>
    </row>
    <row r="919" spans="1:12">
      <c r="A919" s="1566"/>
      <c r="B919" s="209" t="s">
        <v>985</v>
      </c>
      <c r="C919" s="581">
        <f>SUM(C881:C918)</f>
        <v>1667938</v>
      </c>
      <c r="D919" s="581">
        <f>SUM(D881:D918)</f>
        <v>1312538</v>
      </c>
      <c r="E919" s="581">
        <f>SUM(E881:E918)</f>
        <v>355400</v>
      </c>
      <c r="F919" s="263">
        <f>SUM(F881:F892)</f>
        <v>0</v>
      </c>
      <c r="G919" s="236">
        <f>SUM(G881:G892)</f>
        <v>0</v>
      </c>
      <c r="H919" s="1497">
        <f t="shared" si="28"/>
        <v>0</v>
      </c>
      <c r="I919" s="1497">
        <f t="shared" si="29"/>
        <v>3335876</v>
      </c>
      <c r="J919" s="1440"/>
      <c r="K919" s="1490"/>
      <c r="L919" s="1490"/>
    </row>
    <row r="920" spans="1:12" ht="75">
      <c r="A920" s="1566" t="s">
        <v>1150</v>
      </c>
      <c r="B920" s="181" t="s">
        <v>772</v>
      </c>
      <c r="C920" s="589">
        <v>157700</v>
      </c>
      <c r="D920" s="589">
        <v>157700</v>
      </c>
      <c r="E920" s="589"/>
      <c r="F920" s="230"/>
      <c r="G920" s="230"/>
      <c r="H920" s="1497">
        <f t="shared" si="28"/>
        <v>0</v>
      </c>
      <c r="I920" s="1497">
        <f t="shared" si="29"/>
        <v>315400</v>
      </c>
      <c r="J920" s="1440"/>
      <c r="K920" s="1490"/>
      <c r="L920" s="1490"/>
    </row>
    <row r="921" spans="1:12" ht="75">
      <c r="A921" s="1566"/>
      <c r="B921" s="181" t="s">
        <v>1068</v>
      </c>
      <c r="C921" s="589">
        <v>1000000</v>
      </c>
      <c r="D921" s="589"/>
      <c r="E921" s="589">
        <v>1000000</v>
      </c>
      <c r="F921" s="230"/>
      <c r="G921" s="230"/>
      <c r="H921" s="1497">
        <f t="shared" si="28"/>
        <v>0</v>
      </c>
      <c r="I921" s="1497">
        <f t="shared" si="29"/>
        <v>2000000</v>
      </c>
      <c r="J921" s="1440"/>
      <c r="K921" s="1490"/>
      <c r="L921" s="1490"/>
    </row>
    <row r="922" spans="1:12" ht="112.5">
      <c r="A922" s="1566"/>
      <c r="B922" s="107" t="s">
        <v>773</v>
      </c>
      <c r="C922" s="644">
        <v>350000</v>
      </c>
      <c r="D922" s="589"/>
      <c r="E922" s="644">
        <v>350000</v>
      </c>
      <c r="F922" s="237"/>
      <c r="G922" s="237"/>
      <c r="H922" s="1497">
        <f t="shared" si="28"/>
        <v>0</v>
      </c>
      <c r="I922" s="1497">
        <f t="shared" si="29"/>
        <v>700000</v>
      </c>
      <c r="J922" s="1440"/>
      <c r="K922" s="1490"/>
      <c r="L922" s="1490"/>
    </row>
    <row r="923" spans="1:12" ht="37.5">
      <c r="A923" s="1566"/>
      <c r="B923" s="369" t="s">
        <v>1273</v>
      </c>
      <c r="C923" s="590">
        <v>611209</v>
      </c>
      <c r="D923" s="590">
        <v>611209</v>
      </c>
      <c r="E923" s="590"/>
      <c r="F923" s="237"/>
      <c r="G923" s="237"/>
      <c r="H923" s="1497">
        <f t="shared" si="28"/>
        <v>0</v>
      </c>
      <c r="I923" s="1497">
        <f t="shared" si="29"/>
        <v>1222418</v>
      </c>
      <c r="J923" s="1440"/>
      <c r="K923" s="1490"/>
      <c r="L923" s="1490"/>
    </row>
    <row r="924" spans="1:12" ht="37.5">
      <c r="A924" s="1566"/>
      <c r="B924" s="1215" t="s">
        <v>1345</v>
      </c>
      <c r="C924" s="1217">
        <f>300000</f>
        <v>300000</v>
      </c>
      <c r="D924" s="1218">
        <v>300000</v>
      </c>
      <c r="E924" s="1218"/>
      <c r="F924" s="232"/>
      <c r="G924" s="232"/>
      <c r="H924" s="1497">
        <f t="shared" si="28"/>
        <v>0</v>
      </c>
      <c r="I924" s="1497">
        <f t="shared" si="29"/>
        <v>600000</v>
      </c>
      <c r="J924" s="1440"/>
      <c r="K924" s="1490"/>
      <c r="L924" s="1490"/>
    </row>
    <row r="925" spans="1:12" ht="37.5">
      <c r="A925" s="1566"/>
      <c r="B925" s="1215" t="s">
        <v>1346</v>
      </c>
      <c r="C925" s="1214">
        <v>20000</v>
      </c>
      <c r="D925" s="256">
        <v>20000</v>
      </c>
      <c r="E925" s="256"/>
      <c r="F925" s="232"/>
      <c r="G925" s="232"/>
      <c r="H925" s="1497">
        <f t="shared" si="28"/>
        <v>0</v>
      </c>
      <c r="I925" s="1497">
        <f t="shared" si="29"/>
        <v>40000</v>
      </c>
      <c r="J925" s="1440"/>
      <c r="K925" s="1490"/>
      <c r="L925" s="1490"/>
    </row>
    <row r="926" spans="1:12" ht="37.5">
      <c r="A926" s="1566"/>
      <c r="B926" s="1215" t="s">
        <v>1347</v>
      </c>
      <c r="C926" s="1214">
        <v>25000</v>
      </c>
      <c r="D926" s="256"/>
      <c r="E926" s="256">
        <v>25000</v>
      </c>
      <c r="F926" s="265"/>
      <c r="G926" s="240"/>
      <c r="H926" s="1497">
        <f t="shared" si="28"/>
        <v>0</v>
      </c>
      <c r="I926" s="1497">
        <f t="shared" si="29"/>
        <v>50000</v>
      </c>
      <c r="J926" s="1440"/>
      <c r="K926" s="1490"/>
      <c r="L926" s="1490"/>
    </row>
    <row r="927" spans="1:12" ht="37.5">
      <c r="A927" s="1566"/>
      <c r="B927" s="1215" t="s">
        <v>1348</v>
      </c>
      <c r="C927" s="1214">
        <v>25000</v>
      </c>
      <c r="D927" s="256">
        <v>25000</v>
      </c>
      <c r="E927" s="256"/>
      <c r="F927" s="232"/>
      <c r="G927" s="232"/>
      <c r="H927" s="1497">
        <f t="shared" si="28"/>
        <v>0</v>
      </c>
      <c r="I927" s="1497">
        <f t="shared" si="29"/>
        <v>50000</v>
      </c>
      <c r="J927" s="1440"/>
      <c r="K927" s="1490"/>
      <c r="L927" s="1490"/>
    </row>
    <row r="928" spans="1:12" ht="37.5">
      <c r="A928" s="1566"/>
      <c r="B928" s="1215" t="s">
        <v>1349</v>
      </c>
      <c r="C928" s="1214">
        <v>35000</v>
      </c>
      <c r="D928" s="256"/>
      <c r="E928" s="256">
        <v>35000</v>
      </c>
      <c r="F928" s="232"/>
      <c r="G928" s="232"/>
      <c r="H928" s="1497">
        <f t="shared" si="28"/>
        <v>0</v>
      </c>
      <c r="I928" s="1497">
        <f t="shared" si="29"/>
        <v>70000</v>
      </c>
      <c r="J928" s="1440"/>
      <c r="K928" s="1490"/>
      <c r="L928" s="1490"/>
    </row>
    <row r="929" spans="1:12" s="7" customFormat="1" ht="56.25">
      <c r="A929" s="1558"/>
      <c r="B929" s="1215" t="s">
        <v>1350</v>
      </c>
      <c r="C929" s="1214">
        <v>30000</v>
      </c>
      <c r="D929" s="256">
        <v>30000</v>
      </c>
      <c r="E929" s="256"/>
      <c r="F929" s="232"/>
      <c r="G929" s="232"/>
      <c r="H929" s="1497">
        <f t="shared" si="28"/>
        <v>0</v>
      </c>
      <c r="I929" s="1497">
        <f t="shared" si="29"/>
        <v>60000</v>
      </c>
      <c r="J929" s="1435"/>
      <c r="K929" s="1491"/>
      <c r="L929" s="1491"/>
    </row>
    <row r="930" spans="1:12" s="7" customFormat="1" ht="131.25">
      <c r="A930" s="1558"/>
      <c r="B930" s="1215" t="s">
        <v>1351</v>
      </c>
      <c r="C930" s="1214">
        <v>50000</v>
      </c>
      <c r="D930" s="256"/>
      <c r="E930" s="256">
        <v>50000</v>
      </c>
      <c r="F930" s="232"/>
      <c r="G930" s="232"/>
      <c r="H930" s="1497">
        <f t="shared" si="28"/>
        <v>0</v>
      </c>
      <c r="I930" s="1497">
        <f t="shared" si="29"/>
        <v>100000</v>
      </c>
      <c r="J930" s="1435"/>
      <c r="K930" s="1491"/>
      <c r="L930" s="1491"/>
    </row>
    <row r="931" spans="1:12" s="7" customFormat="1" ht="131.25">
      <c r="A931" s="1558"/>
      <c r="B931" s="1215" t="s">
        <v>1351</v>
      </c>
      <c r="C931" s="1214">
        <v>50000</v>
      </c>
      <c r="D931" s="256"/>
      <c r="E931" s="256">
        <v>50000</v>
      </c>
      <c r="F931" s="232"/>
      <c r="G931" s="232"/>
      <c r="H931" s="1497">
        <f t="shared" si="28"/>
        <v>0</v>
      </c>
      <c r="I931" s="1497">
        <f t="shared" si="29"/>
        <v>100000</v>
      </c>
      <c r="J931" s="1435"/>
      <c r="K931" s="1491"/>
      <c r="L931" s="1491"/>
    </row>
    <row r="932" spans="1:12" s="7" customFormat="1" ht="131.25">
      <c r="A932" s="1558"/>
      <c r="B932" s="1215" t="s">
        <v>1351</v>
      </c>
      <c r="C932" s="1217">
        <v>30000</v>
      </c>
      <c r="D932" s="1218"/>
      <c r="E932" s="1218">
        <v>30000</v>
      </c>
      <c r="F932" s="232"/>
      <c r="G932" s="232"/>
      <c r="H932" s="1497">
        <f t="shared" si="28"/>
        <v>0</v>
      </c>
      <c r="I932" s="1497">
        <f t="shared" si="29"/>
        <v>60000</v>
      </c>
      <c r="J932" s="1435"/>
      <c r="K932" s="1491"/>
      <c r="L932" s="1491"/>
    </row>
    <row r="933" spans="1:12" s="7" customFormat="1" ht="93.75">
      <c r="A933" s="1558"/>
      <c r="B933" s="1215" t="s">
        <v>1352</v>
      </c>
      <c r="C933" s="1214">
        <v>40000</v>
      </c>
      <c r="D933" s="256">
        <v>40000</v>
      </c>
      <c r="E933" s="256"/>
      <c r="F933" s="232"/>
      <c r="G933" s="232"/>
      <c r="H933" s="1497">
        <f t="shared" si="28"/>
        <v>0</v>
      </c>
      <c r="I933" s="1497">
        <f t="shared" si="29"/>
        <v>80000</v>
      </c>
      <c r="J933" s="1435"/>
      <c r="K933" s="1491"/>
      <c r="L933" s="1491"/>
    </row>
    <row r="934" spans="1:12" s="7" customFormat="1" ht="112.5">
      <c r="A934" s="1558"/>
      <c r="B934" s="1221" t="s">
        <v>1353</v>
      </c>
      <c r="C934" s="1214">
        <f>D934+E934</f>
        <v>100000</v>
      </c>
      <c r="D934" s="256">
        <v>25000</v>
      </c>
      <c r="E934" s="256">
        <v>75000</v>
      </c>
      <c r="F934" s="232"/>
      <c r="G934" s="232"/>
      <c r="H934" s="1497">
        <f t="shared" si="28"/>
        <v>0</v>
      </c>
      <c r="I934" s="1497">
        <f t="shared" si="29"/>
        <v>200000</v>
      </c>
      <c r="J934" s="1435"/>
      <c r="K934" s="1491"/>
      <c r="L934" s="1491"/>
    </row>
    <row r="935" spans="1:12" s="7" customFormat="1" ht="112.5">
      <c r="A935" s="1558"/>
      <c r="B935" s="1221" t="s">
        <v>1354</v>
      </c>
      <c r="C935" s="1214">
        <f>D935+E935</f>
        <v>100000</v>
      </c>
      <c r="D935" s="256">
        <v>30000</v>
      </c>
      <c r="E935" s="256">
        <v>70000</v>
      </c>
      <c r="F935" s="232"/>
      <c r="G935" s="232"/>
      <c r="H935" s="1497">
        <f t="shared" si="28"/>
        <v>0</v>
      </c>
      <c r="I935" s="1497">
        <f t="shared" si="29"/>
        <v>200000</v>
      </c>
      <c r="J935" s="1435"/>
      <c r="K935" s="1491"/>
      <c r="L935" s="1491"/>
    </row>
    <row r="936" spans="1:12" s="7" customFormat="1" ht="150">
      <c r="A936" s="1558"/>
      <c r="B936" s="107" t="s">
        <v>1583</v>
      </c>
      <c r="C936" s="184">
        <v>20000</v>
      </c>
      <c r="D936" s="184"/>
      <c r="E936" s="184">
        <v>20000</v>
      </c>
      <c r="F936" s="232"/>
      <c r="G936" s="232"/>
      <c r="H936" s="1497">
        <f t="shared" si="28"/>
        <v>0</v>
      </c>
      <c r="I936" s="1497">
        <f t="shared" si="29"/>
        <v>40000</v>
      </c>
      <c r="J936" s="1435"/>
      <c r="K936" s="1491"/>
      <c r="L936" s="1491"/>
    </row>
    <row r="937" spans="1:12" s="7" customFormat="1" ht="56.25">
      <c r="A937" s="1558"/>
      <c r="B937" s="107" t="s">
        <v>1584</v>
      </c>
      <c r="C937" s="1232">
        <v>30000</v>
      </c>
      <c r="D937" s="1233">
        <v>30000</v>
      </c>
      <c r="E937" s="1233"/>
      <c r="F937" s="232"/>
      <c r="G937" s="232"/>
      <c r="H937" s="1497">
        <f t="shared" si="28"/>
        <v>0</v>
      </c>
      <c r="I937" s="1497">
        <f t="shared" si="29"/>
        <v>60000</v>
      </c>
      <c r="J937" s="1435"/>
      <c r="K937" s="1491"/>
      <c r="L937" s="1491"/>
    </row>
    <row r="938" spans="1:12" s="7" customFormat="1" ht="150">
      <c r="A938" s="1558"/>
      <c r="B938" s="107" t="s">
        <v>1583</v>
      </c>
      <c r="C938" s="184">
        <v>25000</v>
      </c>
      <c r="D938" s="184"/>
      <c r="E938" s="184">
        <v>25000</v>
      </c>
      <c r="F938" s="232"/>
      <c r="G938" s="232"/>
      <c r="H938" s="1497">
        <f t="shared" si="28"/>
        <v>0</v>
      </c>
      <c r="I938" s="1497">
        <f t="shared" si="29"/>
        <v>50000</v>
      </c>
      <c r="J938" s="1435"/>
      <c r="K938" s="1491"/>
      <c r="L938" s="1491"/>
    </row>
    <row r="939" spans="1:12" s="7" customFormat="1" ht="112.5">
      <c r="A939" s="1558"/>
      <c r="B939" s="107" t="s">
        <v>1585</v>
      </c>
      <c r="C939" s="184">
        <v>9917</v>
      </c>
      <c r="D939" s="184">
        <v>9917</v>
      </c>
      <c r="E939" s="184"/>
      <c r="F939" s="232"/>
      <c r="G939" s="232"/>
      <c r="H939" s="1497">
        <f t="shared" si="28"/>
        <v>0</v>
      </c>
      <c r="I939" s="1497">
        <f t="shared" si="29"/>
        <v>19834</v>
      </c>
      <c r="J939" s="1435"/>
      <c r="K939" s="1491"/>
      <c r="L939" s="1491"/>
    </row>
    <row r="940" spans="1:12" s="85" customFormat="1" ht="168.75">
      <c r="A940" s="1558"/>
      <c r="B940" s="107" t="s">
        <v>1586</v>
      </c>
      <c r="C940" s="184">
        <v>95000</v>
      </c>
      <c r="D940" s="184"/>
      <c r="E940" s="184">
        <v>95000</v>
      </c>
      <c r="F940" s="239"/>
      <c r="G940" s="239"/>
      <c r="H940" s="1497">
        <f t="shared" si="28"/>
        <v>0</v>
      </c>
      <c r="I940" s="1497">
        <f t="shared" si="29"/>
        <v>190000</v>
      </c>
      <c r="J940" s="1435"/>
      <c r="K940" s="1491"/>
      <c r="L940" s="1491"/>
    </row>
    <row r="941" spans="1:12" s="85" customFormat="1" ht="93.75">
      <c r="A941" s="1558"/>
      <c r="B941" s="107" t="s">
        <v>1587</v>
      </c>
      <c r="C941" s="184">
        <v>22195</v>
      </c>
      <c r="D941" s="184"/>
      <c r="E941" s="184">
        <v>22195</v>
      </c>
      <c r="F941" s="239"/>
      <c r="G941" s="239"/>
      <c r="H941" s="1497">
        <f t="shared" si="28"/>
        <v>0</v>
      </c>
      <c r="I941" s="1497">
        <f t="shared" si="29"/>
        <v>44390</v>
      </c>
      <c r="J941" s="1435"/>
      <c r="K941" s="1491"/>
      <c r="L941" s="1491"/>
    </row>
    <row r="942" spans="1:12" s="7" customFormat="1" ht="150">
      <c r="A942" s="1558"/>
      <c r="B942" s="107" t="s">
        <v>1583</v>
      </c>
      <c r="C942" s="817">
        <v>15000</v>
      </c>
      <c r="D942" s="817"/>
      <c r="E942" s="184">
        <v>15000</v>
      </c>
      <c r="F942" s="232"/>
      <c r="G942" s="232"/>
      <c r="H942" s="1497">
        <f t="shared" si="28"/>
        <v>0</v>
      </c>
      <c r="I942" s="1497">
        <f t="shared" si="29"/>
        <v>30000</v>
      </c>
      <c r="J942" s="1435"/>
      <c r="K942" s="1491"/>
      <c r="L942" s="1491"/>
    </row>
    <row r="943" spans="1:12" s="7" customFormat="1" ht="150">
      <c r="A943" s="1558"/>
      <c r="B943" s="107" t="s">
        <v>1583</v>
      </c>
      <c r="C943" s="184">
        <v>50000</v>
      </c>
      <c r="D943" s="184"/>
      <c r="E943" s="184">
        <v>50000</v>
      </c>
      <c r="F943" s="232"/>
      <c r="G943" s="232"/>
      <c r="H943" s="1497">
        <f t="shared" si="28"/>
        <v>0</v>
      </c>
      <c r="I943" s="1497">
        <f t="shared" si="29"/>
        <v>100000</v>
      </c>
      <c r="J943" s="1435"/>
      <c r="K943" s="1491"/>
      <c r="L943" s="1491"/>
    </row>
    <row r="944" spans="1:12" ht="37.5">
      <c r="A944" s="1558"/>
      <c r="B944" s="107" t="s">
        <v>1588</v>
      </c>
      <c r="C944" s="1226">
        <v>50000</v>
      </c>
      <c r="D944" s="1226">
        <v>50000</v>
      </c>
      <c r="E944" s="1227"/>
      <c r="F944" s="231"/>
      <c r="G944" s="231"/>
      <c r="H944" s="1497">
        <f t="shared" si="28"/>
        <v>0</v>
      </c>
      <c r="I944" s="1497">
        <f t="shared" si="29"/>
        <v>100000</v>
      </c>
      <c r="J944" s="1440"/>
      <c r="K944" s="1490"/>
      <c r="L944" s="1490"/>
    </row>
    <row r="945" spans="1:9" s="7" customFormat="1" hidden="1">
      <c r="A945" s="1558"/>
      <c r="B945" s="107"/>
      <c r="C945" s="649"/>
      <c r="D945" s="649"/>
      <c r="E945" s="256"/>
      <c r="F945" s="232"/>
      <c r="G945" s="232"/>
      <c r="H945" s="231">
        <f t="shared" si="28"/>
        <v>0</v>
      </c>
      <c r="I945" s="231">
        <f t="shared" si="29"/>
        <v>0</v>
      </c>
    </row>
    <row r="946" spans="1:9" s="7" customFormat="1" hidden="1">
      <c r="A946" s="1558"/>
      <c r="B946" s="107"/>
      <c r="C946" s="649"/>
      <c r="D946" s="649"/>
      <c r="E946" s="256"/>
      <c r="F946" s="232"/>
      <c r="G946" s="232"/>
      <c r="H946" s="231">
        <f t="shared" si="28"/>
        <v>0</v>
      </c>
      <c r="I946" s="231">
        <f t="shared" si="29"/>
        <v>0</v>
      </c>
    </row>
    <row r="947" spans="1:9" s="7" customFormat="1" hidden="1">
      <c r="A947" s="1558"/>
      <c r="B947" s="107"/>
      <c r="C947" s="256"/>
      <c r="D947" s="256"/>
      <c r="E947" s="256"/>
      <c r="F947" s="232"/>
      <c r="G947" s="232"/>
      <c r="H947" s="231">
        <f t="shared" si="28"/>
        <v>0</v>
      </c>
      <c r="I947" s="231">
        <f t="shared" si="29"/>
        <v>0</v>
      </c>
    </row>
    <row r="948" spans="1:9" s="7" customFormat="1" hidden="1">
      <c r="A948" s="1558"/>
      <c r="B948" s="107"/>
      <c r="C948" s="256"/>
      <c r="D948" s="256"/>
      <c r="E948" s="256"/>
      <c r="F948" s="232"/>
      <c r="G948" s="232"/>
      <c r="H948" s="231">
        <f t="shared" si="28"/>
        <v>0</v>
      </c>
      <c r="I948" s="231">
        <f t="shared" si="29"/>
        <v>0</v>
      </c>
    </row>
    <row r="949" spans="1:9" s="7" customFormat="1" hidden="1">
      <c r="A949" s="1558"/>
      <c r="B949" s="107"/>
      <c r="C949" s="256"/>
      <c r="D949" s="256"/>
      <c r="E949" s="256"/>
      <c r="F949" s="232"/>
      <c r="G949" s="232"/>
      <c r="H949" s="231">
        <f t="shared" si="28"/>
        <v>0</v>
      </c>
      <c r="I949" s="231">
        <f t="shared" si="29"/>
        <v>0</v>
      </c>
    </row>
    <row r="950" spans="1:9" s="7" customFormat="1" hidden="1">
      <c r="A950" s="1558"/>
      <c r="B950" s="107"/>
      <c r="C950" s="256"/>
      <c r="D950" s="256"/>
      <c r="E950" s="256"/>
      <c r="F950" s="232"/>
      <c r="G950" s="232"/>
      <c r="H950" s="231">
        <f t="shared" si="28"/>
        <v>0</v>
      </c>
      <c r="I950" s="231">
        <f t="shared" si="29"/>
        <v>0</v>
      </c>
    </row>
    <row r="951" spans="1:9" s="7" customFormat="1" hidden="1">
      <c r="A951" s="1558"/>
      <c r="B951" s="107"/>
      <c r="C951" s="256"/>
      <c r="D951" s="256"/>
      <c r="E951" s="256"/>
      <c r="F951" s="232"/>
      <c r="G951" s="232"/>
      <c r="H951" s="231">
        <f t="shared" si="28"/>
        <v>0</v>
      </c>
      <c r="I951" s="231">
        <f t="shared" si="29"/>
        <v>0</v>
      </c>
    </row>
    <row r="952" spans="1:9" s="7" customFormat="1" hidden="1">
      <c r="A952" s="1558"/>
      <c r="B952" s="107"/>
      <c r="C952" s="256"/>
      <c r="D952" s="256"/>
      <c r="E952" s="256"/>
      <c r="F952" s="232"/>
      <c r="G952" s="232"/>
      <c r="H952" s="231">
        <f t="shared" si="28"/>
        <v>0</v>
      </c>
      <c r="I952" s="231">
        <f t="shared" si="29"/>
        <v>0</v>
      </c>
    </row>
    <row r="953" spans="1:9" s="7" customFormat="1" hidden="1">
      <c r="A953" s="1558"/>
      <c r="B953" s="371"/>
      <c r="C953" s="665"/>
      <c r="D953" s="665"/>
      <c r="E953" s="665"/>
      <c r="F953" s="232"/>
      <c r="G953" s="232"/>
      <c r="H953" s="231">
        <f t="shared" si="28"/>
        <v>0</v>
      </c>
      <c r="I953" s="231">
        <f t="shared" si="29"/>
        <v>0</v>
      </c>
    </row>
    <row r="954" spans="1:9" s="85" customFormat="1" hidden="1">
      <c r="A954" s="1660"/>
      <c r="B954" s="371"/>
      <c r="C954" s="665"/>
      <c r="D954" s="665"/>
      <c r="E954" s="665"/>
      <c r="F954" s="232"/>
      <c r="G954" s="232"/>
      <c r="H954" s="231">
        <f t="shared" si="28"/>
        <v>0</v>
      </c>
      <c r="I954" s="231">
        <f t="shared" si="29"/>
        <v>0</v>
      </c>
    </row>
    <row r="955" spans="1:9" s="7" customFormat="1" hidden="1">
      <c r="A955" s="1558"/>
      <c r="B955" s="857"/>
      <c r="C955" s="861"/>
      <c r="D955" s="850"/>
      <c r="E955" s="844"/>
      <c r="F955" s="232"/>
      <c r="G955" s="232"/>
      <c r="H955" s="231">
        <f t="shared" si="28"/>
        <v>0</v>
      </c>
      <c r="I955" s="231">
        <f t="shared" si="29"/>
        <v>0</v>
      </c>
    </row>
    <row r="956" spans="1:9" s="7" customFormat="1" hidden="1">
      <c r="A956" s="1558"/>
      <c r="B956" s="857"/>
      <c r="C956" s="850"/>
      <c r="D956" s="850"/>
      <c r="E956" s="850"/>
      <c r="F956" s="232"/>
      <c r="G956" s="232"/>
      <c r="H956" s="231">
        <f t="shared" si="28"/>
        <v>0</v>
      </c>
      <c r="I956" s="231">
        <f t="shared" si="29"/>
        <v>0</v>
      </c>
    </row>
    <row r="957" spans="1:9" s="7" customFormat="1" hidden="1">
      <c r="A957" s="1558"/>
      <c r="B957" s="371"/>
      <c r="C957" s="850"/>
      <c r="D957" s="850"/>
      <c r="E957" s="844"/>
      <c r="F957" s="232"/>
      <c r="G957" s="232"/>
      <c r="H957" s="231">
        <f t="shared" si="28"/>
        <v>0</v>
      </c>
      <c r="I957" s="231">
        <f t="shared" si="29"/>
        <v>0</v>
      </c>
    </row>
    <row r="958" spans="1:9" s="7" customFormat="1" hidden="1">
      <c r="A958" s="1558"/>
      <c r="B958" s="371"/>
      <c r="C958" s="844"/>
      <c r="D958" s="862"/>
      <c r="E958" s="862"/>
      <c r="F958" s="232"/>
      <c r="G958" s="232"/>
      <c r="H958" s="231">
        <f t="shared" si="28"/>
        <v>0</v>
      </c>
      <c r="I958" s="231">
        <f t="shared" si="29"/>
        <v>0</v>
      </c>
    </row>
    <row r="959" spans="1:9" s="7" customFormat="1" hidden="1">
      <c r="A959" s="1558"/>
      <c r="B959" s="371"/>
      <c r="C959" s="851"/>
      <c r="D959" s="851"/>
      <c r="E959" s="852"/>
      <c r="F959" s="232"/>
      <c r="G959" s="232"/>
      <c r="H959" s="231">
        <f t="shared" si="28"/>
        <v>0</v>
      </c>
      <c r="I959" s="231">
        <f t="shared" si="29"/>
        <v>0</v>
      </c>
    </row>
    <row r="960" spans="1:9" s="7" customFormat="1" hidden="1">
      <c r="A960" s="1558"/>
      <c r="B960" s="371"/>
      <c r="C960" s="844"/>
      <c r="D960" s="844"/>
      <c r="E960" s="844"/>
      <c r="F960" s="232"/>
      <c r="G960" s="232"/>
      <c r="H960" s="231">
        <f t="shared" si="28"/>
        <v>0</v>
      </c>
      <c r="I960" s="231">
        <f t="shared" si="29"/>
        <v>0</v>
      </c>
    </row>
    <row r="961" spans="1:9" s="7" customFormat="1" hidden="1">
      <c r="A961" s="1558"/>
      <c r="B961" s="371"/>
      <c r="C961" s="844"/>
      <c r="D961" s="844"/>
      <c r="E961" s="844"/>
      <c r="F961" s="232"/>
      <c r="G961" s="232"/>
      <c r="H961" s="231">
        <f t="shared" si="28"/>
        <v>0</v>
      </c>
      <c r="I961" s="231">
        <f t="shared" si="29"/>
        <v>0</v>
      </c>
    </row>
    <row r="962" spans="1:9" s="7" customFormat="1" hidden="1">
      <c r="A962" s="1558"/>
      <c r="B962" s="371"/>
      <c r="C962" s="850"/>
      <c r="D962" s="850"/>
      <c r="E962" s="844"/>
      <c r="F962" s="232"/>
      <c r="G962" s="232"/>
      <c r="H962" s="231">
        <f t="shared" si="28"/>
        <v>0</v>
      </c>
      <c r="I962" s="231">
        <f t="shared" si="29"/>
        <v>0</v>
      </c>
    </row>
    <row r="963" spans="1:9" s="7" customFormat="1" hidden="1">
      <c r="A963" s="1558"/>
      <c r="B963" s="371"/>
      <c r="C963" s="850"/>
      <c r="D963" s="850"/>
      <c r="E963" s="844"/>
      <c r="F963" s="232"/>
      <c r="G963" s="232"/>
      <c r="H963" s="231">
        <f t="shared" si="28"/>
        <v>0</v>
      </c>
      <c r="I963" s="231">
        <f t="shared" si="29"/>
        <v>0</v>
      </c>
    </row>
    <row r="964" spans="1:9" s="7" customFormat="1" hidden="1">
      <c r="A964" s="1558"/>
      <c r="B964" s="107"/>
      <c r="C964" s="654"/>
      <c r="D964" s="654"/>
      <c r="E964" s="256"/>
      <c r="F964" s="232"/>
      <c r="G964" s="232"/>
      <c r="H964" s="231">
        <f t="shared" si="28"/>
        <v>0</v>
      </c>
      <c r="I964" s="231">
        <f t="shared" si="29"/>
        <v>0</v>
      </c>
    </row>
    <row r="965" spans="1:9" s="7" customFormat="1" hidden="1">
      <c r="A965" s="1558"/>
      <c r="B965" s="107"/>
      <c r="C965" s="654"/>
      <c r="D965" s="654"/>
      <c r="E965" s="256"/>
      <c r="F965" s="232"/>
      <c r="G965" s="232"/>
      <c r="H965" s="231">
        <f t="shared" si="28"/>
        <v>0</v>
      </c>
      <c r="I965" s="231">
        <f t="shared" si="29"/>
        <v>0</v>
      </c>
    </row>
    <row r="966" spans="1:9" s="7" customFormat="1" hidden="1">
      <c r="A966" s="1558"/>
      <c r="B966" s="107"/>
      <c r="C966" s="654"/>
      <c r="D966" s="654"/>
      <c r="E966" s="256"/>
      <c r="F966" s="232"/>
      <c r="G966" s="232"/>
      <c r="H966" s="231">
        <f t="shared" si="28"/>
        <v>0</v>
      </c>
      <c r="I966" s="231">
        <f t="shared" si="29"/>
        <v>0</v>
      </c>
    </row>
    <row r="967" spans="1:9" s="7" customFormat="1" hidden="1">
      <c r="A967" s="1558"/>
      <c r="B967" s="107"/>
      <c r="C967" s="654"/>
      <c r="D967" s="654"/>
      <c r="E967" s="256"/>
      <c r="F967" s="232"/>
      <c r="G967" s="232"/>
      <c r="H967" s="231">
        <f t="shared" si="28"/>
        <v>0</v>
      </c>
      <c r="I967" s="231">
        <f t="shared" si="29"/>
        <v>0</v>
      </c>
    </row>
    <row r="968" spans="1:9" s="7" customFormat="1" hidden="1">
      <c r="A968" s="1558"/>
      <c r="B968" s="116"/>
      <c r="C968" s="679"/>
      <c r="D968" s="679"/>
      <c r="E968" s="680"/>
      <c r="F968" s="232"/>
      <c r="G968" s="232"/>
      <c r="H968" s="231">
        <f t="shared" si="28"/>
        <v>0</v>
      </c>
      <c r="I968" s="231">
        <f t="shared" si="29"/>
        <v>0</v>
      </c>
    </row>
    <row r="969" spans="1:9" s="7" customFormat="1" hidden="1">
      <c r="A969" s="1558"/>
      <c r="B969" s="107"/>
      <c r="C969" s="654"/>
      <c r="D969" s="654"/>
      <c r="E969" s="256"/>
      <c r="F969" s="232"/>
      <c r="G969" s="232"/>
      <c r="H969" s="231">
        <f t="shared" ref="H969:H1032" si="30">E969+D969-C969</f>
        <v>0</v>
      </c>
      <c r="I969" s="231">
        <f t="shared" ref="I969:I1032" si="31">SUM(C969:E969)</f>
        <v>0</v>
      </c>
    </row>
    <row r="970" spans="1:9" s="7" customFormat="1" hidden="1">
      <c r="A970" s="1558"/>
      <c r="B970" s="107"/>
      <c r="C970" s="654"/>
      <c r="D970" s="654"/>
      <c r="E970" s="256"/>
      <c r="F970" s="232"/>
      <c r="G970" s="232"/>
      <c r="H970" s="231">
        <f t="shared" si="30"/>
        <v>0</v>
      </c>
      <c r="I970" s="231">
        <f t="shared" si="31"/>
        <v>0</v>
      </c>
    </row>
    <row r="971" spans="1:9" s="7" customFormat="1" hidden="1">
      <c r="A971" s="1558"/>
      <c r="B971" s="107"/>
      <c r="C971" s="654"/>
      <c r="D971" s="654"/>
      <c r="E971" s="256"/>
      <c r="F971" s="232"/>
      <c r="G971" s="232"/>
      <c r="H971" s="231">
        <f t="shared" si="30"/>
        <v>0</v>
      </c>
      <c r="I971" s="231">
        <f t="shared" si="31"/>
        <v>0</v>
      </c>
    </row>
    <row r="972" spans="1:9" s="7" customFormat="1" hidden="1">
      <c r="A972" s="1558"/>
      <c r="B972" s="107"/>
      <c r="C972" s="654"/>
      <c r="D972" s="654"/>
      <c r="E972" s="256"/>
      <c r="F972" s="232"/>
      <c r="G972" s="232"/>
      <c r="H972" s="231">
        <f t="shared" si="30"/>
        <v>0</v>
      </c>
      <c r="I972" s="231">
        <f t="shared" si="31"/>
        <v>0</v>
      </c>
    </row>
    <row r="973" spans="1:9" s="7" customFormat="1" hidden="1">
      <c r="A973" s="1558"/>
      <c r="B973" s="107"/>
      <c r="C973" s="654"/>
      <c r="D973" s="654"/>
      <c r="E973" s="256"/>
      <c r="F973" s="232"/>
      <c r="G973" s="232"/>
      <c r="H973" s="231">
        <f t="shared" si="30"/>
        <v>0</v>
      </c>
      <c r="I973" s="231">
        <f t="shared" si="31"/>
        <v>0</v>
      </c>
    </row>
    <row r="974" spans="1:9" s="7" customFormat="1" hidden="1">
      <c r="A974" s="1558"/>
      <c r="B974" s="107"/>
      <c r="C974" s="654"/>
      <c r="D974" s="654"/>
      <c r="E974" s="256"/>
      <c r="F974" s="232"/>
      <c r="G974" s="232"/>
      <c r="H974" s="231">
        <f t="shared" si="30"/>
        <v>0</v>
      </c>
      <c r="I974" s="231">
        <f t="shared" si="31"/>
        <v>0</v>
      </c>
    </row>
    <row r="975" spans="1:9" s="7" customFormat="1" hidden="1">
      <c r="A975" s="1558"/>
      <c r="B975" s="107"/>
      <c r="C975" s="654"/>
      <c r="D975" s="654"/>
      <c r="E975" s="256"/>
      <c r="F975" s="232"/>
      <c r="G975" s="232"/>
      <c r="H975" s="231">
        <f t="shared" si="30"/>
        <v>0</v>
      </c>
      <c r="I975" s="231">
        <f t="shared" si="31"/>
        <v>0</v>
      </c>
    </row>
    <row r="976" spans="1:9" s="7" customFormat="1" hidden="1">
      <c r="A976" s="1558"/>
      <c r="B976" s="107"/>
      <c r="C976" s="654"/>
      <c r="D976" s="654"/>
      <c r="E976" s="256"/>
      <c r="F976" s="232"/>
      <c r="G976" s="232"/>
      <c r="H976" s="231">
        <f t="shared" si="30"/>
        <v>0</v>
      </c>
      <c r="I976" s="231">
        <f t="shared" si="31"/>
        <v>0</v>
      </c>
    </row>
    <row r="977" spans="1:9" s="7" customFormat="1" hidden="1">
      <c r="A977" s="1558"/>
      <c r="B977" s="107"/>
      <c r="C977" s="654"/>
      <c r="D977" s="654"/>
      <c r="E977" s="256"/>
      <c r="F977" s="232"/>
      <c r="G977" s="232"/>
      <c r="H977" s="231">
        <f t="shared" si="30"/>
        <v>0</v>
      </c>
      <c r="I977" s="231">
        <f t="shared" si="31"/>
        <v>0</v>
      </c>
    </row>
    <row r="978" spans="1:9" s="7" customFormat="1" hidden="1">
      <c r="A978" s="1558"/>
      <c r="B978" s="107"/>
      <c r="C978" s="654"/>
      <c r="D978" s="654"/>
      <c r="E978" s="256"/>
      <c r="F978" s="232"/>
      <c r="G978" s="232"/>
      <c r="H978" s="231">
        <f t="shared" si="30"/>
        <v>0</v>
      </c>
      <c r="I978" s="231">
        <f t="shared" si="31"/>
        <v>0</v>
      </c>
    </row>
    <row r="979" spans="1:9" s="7" customFormat="1" hidden="1">
      <c r="A979" s="1558"/>
      <c r="B979" s="107"/>
      <c r="C979" s="654"/>
      <c r="D979" s="654"/>
      <c r="E979" s="256"/>
      <c r="F979" s="232"/>
      <c r="G979" s="232"/>
      <c r="H979" s="231">
        <f t="shared" si="30"/>
        <v>0</v>
      </c>
      <c r="I979" s="231">
        <f t="shared" si="31"/>
        <v>0</v>
      </c>
    </row>
    <row r="980" spans="1:9" s="7" customFormat="1" hidden="1">
      <c r="A980" s="1558"/>
      <c r="B980" s="107"/>
      <c r="C980" s="654"/>
      <c r="D980" s="654"/>
      <c r="E980" s="256"/>
      <c r="F980" s="232"/>
      <c r="G980" s="232"/>
      <c r="H980" s="231">
        <f t="shared" si="30"/>
        <v>0</v>
      </c>
      <c r="I980" s="231">
        <f t="shared" si="31"/>
        <v>0</v>
      </c>
    </row>
    <row r="981" spans="1:9" s="7" customFormat="1" hidden="1">
      <c r="A981" s="1558"/>
      <c r="B981" s="107"/>
      <c r="C981" s="654"/>
      <c r="D981" s="654"/>
      <c r="E981" s="256"/>
      <c r="F981" s="232"/>
      <c r="G981" s="232"/>
      <c r="H981" s="231">
        <f t="shared" si="30"/>
        <v>0</v>
      </c>
      <c r="I981" s="231">
        <f t="shared" si="31"/>
        <v>0</v>
      </c>
    </row>
    <row r="982" spans="1:9" s="7" customFormat="1" hidden="1">
      <c r="A982" s="1558"/>
      <c r="B982" s="107"/>
      <c r="C982" s="654"/>
      <c r="D982" s="654"/>
      <c r="E982" s="256"/>
      <c r="F982" s="232"/>
      <c r="G982" s="232"/>
      <c r="H982" s="231">
        <f t="shared" si="30"/>
        <v>0</v>
      </c>
      <c r="I982" s="231">
        <f t="shared" si="31"/>
        <v>0</v>
      </c>
    </row>
    <row r="983" spans="1:9" s="7" customFormat="1" hidden="1">
      <c r="A983" s="1558"/>
      <c r="B983" s="107"/>
      <c r="C983" s="654"/>
      <c r="D983" s="654"/>
      <c r="E983" s="256"/>
      <c r="F983" s="232"/>
      <c r="G983" s="232"/>
      <c r="H983" s="231">
        <f t="shared" si="30"/>
        <v>0</v>
      </c>
      <c r="I983" s="231">
        <f t="shared" si="31"/>
        <v>0</v>
      </c>
    </row>
    <row r="984" spans="1:9" s="7" customFormat="1" hidden="1">
      <c r="A984" s="1558"/>
      <c r="B984" s="107"/>
      <c r="C984" s="654"/>
      <c r="D984" s="654"/>
      <c r="E984" s="256"/>
      <c r="F984" s="232"/>
      <c r="G984" s="232"/>
      <c r="H984" s="231">
        <f t="shared" si="30"/>
        <v>0</v>
      </c>
      <c r="I984" s="231">
        <f t="shared" si="31"/>
        <v>0</v>
      </c>
    </row>
    <row r="985" spans="1:9" s="7" customFormat="1" hidden="1">
      <c r="A985" s="1558"/>
      <c r="B985" s="107"/>
      <c r="C985" s="654"/>
      <c r="D985" s="654"/>
      <c r="E985" s="256"/>
      <c r="F985" s="232"/>
      <c r="G985" s="232"/>
      <c r="H985" s="231">
        <f t="shared" si="30"/>
        <v>0</v>
      </c>
      <c r="I985" s="231">
        <f t="shared" si="31"/>
        <v>0</v>
      </c>
    </row>
    <row r="986" spans="1:9" s="7" customFormat="1" hidden="1">
      <c r="A986" s="1558"/>
      <c r="B986" s="107"/>
      <c r="C986" s="654"/>
      <c r="D986" s="654"/>
      <c r="E986" s="256"/>
      <c r="F986" s="232"/>
      <c r="G986" s="232"/>
      <c r="H986" s="231">
        <f t="shared" si="30"/>
        <v>0</v>
      </c>
      <c r="I986" s="231">
        <f t="shared" si="31"/>
        <v>0</v>
      </c>
    </row>
    <row r="987" spans="1:9" s="7" customFormat="1" hidden="1">
      <c r="A987" s="1558"/>
      <c r="B987" s="107"/>
      <c r="C987" s="654"/>
      <c r="D987" s="654"/>
      <c r="E987" s="256"/>
      <c r="F987" s="232"/>
      <c r="G987" s="232"/>
      <c r="H987" s="231">
        <f t="shared" si="30"/>
        <v>0</v>
      </c>
      <c r="I987" s="231">
        <f t="shared" si="31"/>
        <v>0</v>
      </c>
    </row>
    <row r="988" spans="1:9" s="7" customFormat="1" hidden="1">
      <c r="A988" s="1558"/>
      <c r="B988" s="107"/>
      <c r="C988" s="256"/>
      <c r="D988" s="699"/>
      <c r="E988" s="256"/>
      <c r="F988" s="232"/>
      <c r="G988" s="232"/>
      <c r="H988" s="231">
        <f t="shared" si="30"/>
        <v>0</v>
      </c>
      <c r="I988" s="231">
        <f t="shared" si="31"/>
        <v>0</v>
      </c>
    </row>
    <row r="989" spans="1:9" s="7" customFormat="1" hidden="1">
      <c r="A989" s="1558"/>
      <c r="B989" s="107"/>
      <c r="C989" s="256"/>
      <c r="D989" s="256"/>
      <c r="E989" s="256"/>
      <c r="F989" s="232"/>
      <c r="G989" s="232"/>
      <c r="H989" s="231">
        <f t="shared" si="30"/>
        <v>0</v>
      </c>
      <c r="I989" s="231">
        <f t="shared" si="31"/>
        <v>0</v>
      </c>
    </row>
    <row r="990" spans="1:9" s="7" customFormat="1" hidden="1">
      <c r="A990" s="1558"/>
      <c r="B990" s="229"/>
      <c r="C990" s="257"/>
      <c r="D990" s="256"/>
      <c r="E990" s="256"/>
      <c r="F990" s="232"/>
      <c r="G990" s="232"/>
      <c r="H990" s="231">
        <f t="shared" si="30"/>
        <v>0</v>
      </c>
      <c r="I990" s="231">
        <f t="shared" si="31"/>
        <v>0</v>
      </c>
    </row>
    <row r="991" spans="1:9" s="7" customFormat="1" ht="18" hidden="1" customHeight="1">
      <c r="A991" s="1554"/>
      <c r="B991" s="272"/>
      <c r="C991" s="682"/>
      <c r="D991" s="682"/>
      <c r="E991" s="683"/>
      <c r="F991" s="232"/>
      <c r="G991" s="232"/>
      <c r="H991" s="231">
        <f t="shared" si="30"/>
        <v>0</v>
      </c>
      <c r="I991" s="231">
        <f t="shared" si="31"/>
        <v>0</v>
      </c>
    </row>
    <row r="992" spans="1:9" s="7" customFormat="1" ht="18" hidden="1" customHeight="1">
      <c r="A992" s="1554"/>
      <c r="B992" s="181"/>
      <c r="C992" s="654"/>
      <c r="D992" s="654"/>
      <c r="E992" s="655"/>
      <c r="F992" s="232"/>
      <c r="G992" s="232"/>
      <c r="H992" s="231">
        <f t="shared" si="30"/>
        <v>0</v>
      </c>
      <c r="I992" s="231">
        <f t="shared" si="31"/>
        <v>0</v>
      </c>
    </row>
    <row r="993" spans="1:12" s="7" customFormat="1" ht="18" hidden="1" customHeight="1">
      <c r="A993" s="1554"/>
      <c r="B993" s="181"/>
      <c r="C993" s="654"/>
      <c r="D993" s="654"/>
      <c r="E993" s="655"/>
      <c r="F993" s="232"/>
      <c r="G993" s="232"/>
      <c r="H993" s="231">
        <f t="shared" si="30"/>
        <v>0</v>
      </c>
      <c r="I993" s="231">
        <f t="shared" si="31"/>
        <v>0</v>
      </c>
    </row>
    <row r="994" spans="1:12" s="7" customFormat="1" ht="18" hidden="1" customHeight="1">
      <c r="A994" s="1554"/>
      <c r="B994" s="181"/>
      <c r="C994" s="654"/>
      <c r="D994" s="654"/>
      <c r="E994" s="655"/>
      <c r="F994" s="232"/>
      <c r="G994" s="232"/>
      <c r="H994" s="231">
        <f t="shared" si="30"/>
        <v>0</v>
      </c>
      <c r="I994" s="231">
        <f t="shared" si="31"/>
        <v>0</v>
      </c>
    </row>
    <row r="995" spans="1:12" s="7" customFormat="1" ht="18" hidden="1" customHeight="1">
      <c r="A995" s="1554"/>
      <c r="B995" s="107"/>
      <c r="C995" s="654"/>
      <c r="D995" s="654"/>
      <c r="E995" s="256"/>
      <c r="F995" s="232"/>
      <c r="G995" s="232"/>
      <c r="H995" s="231">
        <f t="shared" si="30"/>
        <v>0</v>
      </c>
      <c r="I995" s="231">
        <f t="shared" si="31"/>
        <v>0</v>
      </c>
    </row>
    <row r="996" spans="1:12" s="7" customFormat="1" ht="18" hidden="1" customHeight="1">
      <c r="A996" s="1554"/>
      <c r="B996" s="107"/>
      <c r="C996" s="654"/>
      <c r="D996" s="654"/>
      <c r="E996" s="256"/>
      <c r="F996" s="232"/>
      <c r="G996" s="232"/>
      <c r="H996" s="231">
        <f t="shared" si="30"/>
        <v>0</v>
      </c>
      <c r="I996" s="231">
        <f t="shared" si="31"/>
        <v>0</v>
      </c>
    </row>
    <row r="997" spans="1:12" s="7" customFormat="1" ht="18" hidden="1" customHeight="1">
      <c r="A997" s="1554"/>
      <c r="B997" s="107"/>
      <c r="C997" s="654"/>
      <c r="D997" s="654"/>
      <c r="E997" s="256"/>
      <c r="F997" s="232"/>
      <c r="G997" s="232"/>
      <c r="H997" s="231">
        <f t="shared" si="30"/>
        <v>0</v>
      </c>
      <c r="I997" s="231">
        <f t="shared" si="31"/>
        <v>0</v>
      </c>
    </row>
    <row r="998" spans="1:12" s="7" customFormat="1" ht="18" hidden="1" customHeight="1">
      <c r="A998" s="1554"/>
      <c r="B998" s="268"/>
      <c r="C998" s="656"/>
      <c r="D998" s="656"/>
      <c r="E998" s="657"/>
      <c r="F998" s="232"/>
      <c r="G998" s="232"/>
      <c r="H998" s="231">
        <f t="shared" si="30"/>
        <v>0</v>
      </c>
      <c r="I998" s="231">
        <f t="shared" si="31"/>
        <v>0</v>
      </c>
    </row>
    <row r="999" spans="1:12">
      <c r="A999" s="1566"/>
      <c r="B999" s="209" t="s">
        <v>985</v>
      </c>
      <c r="C999" s="581">
        <f>SUM(C920:C998)</f>
        <v>3241021</v>
      </c>
      <c r="D999" s="581">
        <f>SUM(D920:D998)</f>
        <v>1328826</v>
      </c>
      <c r="E999" s="581">
        <f>SUM(E920:E998)</f>
        <v>1912195</v>
      </c>
      <c r="F999" s="263">
        <f>SUM(F920:F947)</f>
        <v>0</v>
      </c>
      <c r="G999" s="236">
        <f>SUM(G920:G947)</f>
        <v>0</v>
      </c>
      <c r="H999" s="1497">
        <f t="shared" si="30"/>
        <v>0</v>
      </c>
      <c r="I999" s="1497">
        <f t="shared" si="31"/>
        <v>6482042</v>
      </c>
      <c r="J999" s="1440"/>
      <c r="K999" s="1490"/>
      <c r="L999" s="1490"/>
    </row>
    <row r="1000" spans="1:12" ht="75">
      <c r="A1000" s="1566" t="s">
        <v>1151</v>
      </c>
      <c r="B1000" s="181" t="s">
        <v>772</v>
      </c>
      <c r="C1000" s="644">
        <v>648700</v>
      </c>
      <c r="D1000" s="589">
        <v>648700</v>
      </c>
      <c r="E1000" s="644"/>
      <c r="F1000" s="237"/>
      <c r="G1000" s="237"/>
      <c r="H1000" s="1497">
        <f t="shared" si="30"/>
        <v>0</v>
      </c>
      <c r="I1000" s="1497">
        <f t="shared" si="31"/>
        <v>1297400</v>
      </c>
      <c r="J1000" s="1440"/>
      <c r="K1000" s="1490"/>
      <c r="L1000" s="1490"/>
    </row>
    <row r="1001" spans="1:12" ht="112.5">
      <c r="A1001" s="1566"/>
      <c r="B1001" s="107" t="s">
        <v>773</v>
      </c>
      <c r="C1001" s="590">
        <v>30000</v>
      </c>
      <c r="D1001" s="590"/>
      <c r="E1001" s="590">
        <v>30000</v>
      </c>
      <c r="F1001" s="237"/>
      <c r="G1001" s="237"/>
      <c r="H1001" s="1497">
        <f t="shared" si="30"/>
        <v>0</v>
      </c>
      <c r="I1001" s="1497">
        <f t="shared" si="31"/>
        <v>60000</v>
      </c>
      <c r="J1001" s="1440"/>
      <c r="K1001" s="1490"/>
      <c r="L1001" s="1490"/>
    </row>
    <row r="1002" spans="1:12" ht="37.5">
      <c r="A1002" s="1566"/>
      <c r="B1002" s="369" t="s">
        <v>1273</v>
      </c>
      <c r="C1002" s="590">
        <v>215436</v>
      </c>
      <c r="D1002" s="590">
        <v>215436</v>
      </c>
      <c r="E1002" s="590"/>
      <c r="F1002" s="232"/>
      <c r="G1002" s="232"/>
      <c r="H1002" s="1497">
        <f t="shared" si="30"/>
        <v>0</v>
      </c>
      <c r="I1002" s="1497">
        <f t="shared" si="31"/>
        <v>430872</v>
      </c>
      <c r="J1002" s="1440"/>
      <c r="K1002" s="1490"/>
      <c r="L1002" s="1490"/>
    </row>
    <row r="1003" spans="1:12" ht="56.25">
      <c r="A1003" s="1566"/>
      <c r="B1003" s="1426" t="s">
        <v>2126</v>
      </c>
      <c r="C1003" s="1214">
        <v>67000</v>
      </c>
      <c r="D1003" s="256">
        <v>67000</v>
      </c>
      <c r="E1003" s="256"/>
      <c r="F1003" s="232"/>
      <c r="G1003" s="232"/>
      <c r="H1003" s="1497">
        <f t="shared" si="30"/>
        <v>0</v>
      </c>
      <c r="I1003" s="1497">
        <f t="shared" si="31"/>
        <v>134000</v>
      </c>
      <c r="J1003" s="1440"/>
      <c r="K1003" s="1490"/>
      <c r="L1003" s="1490"/>
    </row>
    <row r="1004" spans="1:12" ht="75">
      <c r="A1004" s="1566"/>
      <c r="B1004" s="1215" t="s">
        <v>1355</v>
      </c>
      <c r="C1004" s="1214">
        <v>35000</v>
      </c>
      <c r="D1004" s="256"/>
      <c r="E1004" s="256">
        <v>35000</v>
      </c>
      <c r="F1004" s="232"/>
      <c r="G1004" s="232"/>
      <c r="H1004" s="1497">
        <f t="shared" si="30"/>
        <v>0</v>
      </c>
      <c r="I1004" s="1497">
        <f t="shared" si="31"/>
        <v>70000</v>
      </c>
      <c r="J1004" s="1440"/>
      <c r="K1004" s="1490"/>
      <c r="L1004" s="1490"/>
    </row>
    <row r="1005" spans="1:12" ht="37.5">
      <c r="A1005" s="1566"/>
      <c r="B1005" s="1215" t="s">
        <v>1356</v>
      </c>
      <c r="C1005" s="1214">
        <v>13000</v>
      </c>
      <c r="D1005" s="256"/>
      <c r="E1005" s="256">
        <v>13000</v>
      </c>
      <c r="F1005" s="232"/>
      <c r="G1005" s="232"/>
      <c r="H1005" s="1497">
        <f t="shared" si="30"/>
        <v>0</v>
      </c>
      <c r="I1005" s="1497">
        <f t="shared" si="31"/>
        <v>26000</v>
      </c>
      <c r="J1005" s="1440"/>
      <c r="K1005" s="1490"/>
      <c r="L1005" s="1490"/>
    </row>
    <row r="1006" spans="1:12" ht="56.25">
      <c r="A1006" s="1566"/>
      <c r="B1006" s="1215" t="s">
        <v>1357</v>
      </c>
      <c r="C1006" s="1214">
        <v>21000</v>
      </c>
      <c r="D1006" s="256"/>
      <c r="E1006" s="256">
        <v>21000</v>
      </c>
      <c r="F1006" s="232"/>
      <c r="G1006" s="232"/>
      <c r="H1006" s="1497">
        <f t="shared" si="30"/>
        <v>0</v>
      </c>
      <c r="I1006" s="1497">
        <f t="shared" si="31"/>
        <v>42000</v>
      </c>
      <c r="J1006" s="1440"/>
      <c r="K1006" s="1490"/>
      <c r="L1006" s="1490"/>
    </row>
    <row r="1007" spans="1:12" ht="37.5">
      <c r="A1007" s="1566"/>
      <c r="B1007" s="1215" t="s">
        <v>1358</v>
      </c>
      <c r="C1007" s="1214">
        <v>12000</v>
      </c>
      <c r="D1007" s="256"/>
      <c r="E1007" s="256">
        <v>12000</v>
      </c>
      <c r="F1007" s="232"/>
      <c r="G1007" s="232"/>
      <c r="H1007" s="1497">
        <f t="shared" si="30"/>
        <v>0</v>
      </c>
      <c r="I1007" s="1497">
        <f t="shared" si="31"/>
        <v>24000</v>
      </c>
      <c r="J1007" s="1440"/>
      <c r="K1007" s="1490"/>
      <c r="L1007" s="1490"/>
    </row>
    <row r="1008" spans="1:12" ht="37.5">
      <c r="A1008" s="1566"/>
      <c r="B1008" s="1215" t="s">
        <v>1359</v>
      </c>
      <c r="C1008" s="1214">
        <v>3000</v>
      </c>
      <c r="D1008" s="256">
        <v>3000</v>
      </c>
      <c r="E1008" s="256"/>
      <c r="F1008" s="232"/>
      <c r="G1008" s="232"/>
      <c r="H1008" s="1497">
        <f t="shared" si="30"/>
        <v>0</v>
      </c>
      <c r="I1008" s="1497">
        <f t="shared" si="31"/>
        <v>6000</v>
      </c>
      <c r="J1008" s="1440"/>
      <c r="K1008" s="1490"/>
      <c r="L1008" s="1490"/>
    </row>
    <row r="1009" spans="1:12" ht="112.5">
      <c r="A1009" s="1566"/>
      <c r="B1009" s="107" t="s">
        <v>1589</v>
      </c>
      <c r="C1009" s="817">
        <v>50000</v>
      </c>
      <c r="D1009" s="817">
        <v>50000</v>
      </c>
      <c r="E1009" s="184"/>
      <c r="F1009" s="232"/>
      <c r="G1009" s="232"/>
      <c r="H1009" s="1497">
        <f t="shared" si="30"/>
        <v>0</v>
      </c>
      <c r="I1009" s="1497">
        <f t="shared" si="31"/>
        <v>100000</v>
      </c>
      <c r="J1009" s="1440"/>
      <c r="K1009" s="1490"/>
      <c r="L1009" s="1490"/>
    </row>
    <row r="1010" spans="1:12" ht="75">
      <c r="A1010" s="1566"/>
      <c r="B1010" s="107" t="s">
        <v>1590</v>
      </c>
      <c r="C1010" s="817">
        <v>60000</v>
      </c>
      <c r="D1010" s="817"/>
      <c r="E1010" s="184">
        <v>60000</v>
      </c>
      <c r="F1010" s="232"/>
      <c r="G1010" s="232"/>
      <c r="H1010" s="1497">
        <f t="shared" si="30"/>
        <v>0</v>
      </c>
      <c r="I1010" s="1497">
        <f t="shared" si="31"/>
        <v>120000</v>
      </c>
      <c r="J1010" s="1440"/>
      <c r="K1010" s="1490"/>
      <c r="L1010" s="1490"/>
    </row>
    <row r="1011" spans="1:12" s="213" customFormat="1" ht="56.25">
      <c r="A1011" s="1566"/>
      <c r="B1011" s="107" t="s">
        <v>1591</v>
      </c>
      <c r="C1011" s="817">
        <v>15000</v>
      </c>
      <c r="D1011" s="817"/>
      <c r="E1011" s="184">
        <v>15000</v>
      </c>
      <c r="F1011" s="238"/>
      <c r="G1011" s="238"/>
      <c r="H1011" s="1497">
        <f t="shared" si="30"/>
        <v>0</v>
      </c>
      <c r="I1011" s="1497">
        <f t="shared" si="31"/>
        <v>30000</v>
      </c>
      <c r="J1011" s="1440"/>
      <c r="K1011" s="1490"/>
      <c r="L1011" s="1490"/>
    </row>
    <row r="1012" spans="1:12" s="214" customFormat="1" ht="56.25">
      <c r="A1012" s="1566"/>
      <c r="B1012" s="107" t="s">
        <v>1592</v>
      </c>
      <c r="C1012" s="817">
        <v>25000</v>
      </c>
      <c r="D1012" s="817">
        <v>25000</v>
      </c>
      <c r="E1012" s="184"/>
      <c r="F1012" s="241"/>
      <c r="G1012" s="241"/>
      <c r="H1012" s="1497">
        <f t="shared" si="30"/>
        <v>0</v>
      </c>
      <c r="I1012" s="1497">
        <f t="shared" si="31"/>
        <v>50000</v>
      </c>
      <c r="J1012" s="1440"/>
      <c r="K1012" s="1490"/>
      <c r="L1012" s="1490"/>
    </row>
    <row r="1013" spans="1:12" ht="75">
      <c r="A1013" s="1566"/>
      <c r="B1013" s="425" t="s">
        <v>1593</v>
      </c>
      <c r="C1013" s="1226">
        <v>5000</v>
      </c>
      <c r="D1013" s="1226">
        <v>5000</v>
      </c>
      <c r="E1013" s="1227"/>
      <c r="F1013" s="232"/>
      <c r="G1013" s="232"/>
      <c r="H1013" s="1497">
        <f t="shared" si="30"/>
        <v>0</v>
      </c>
      <c r="I1013" s="1497">
        <f t="shared" si="31"/>
        <v>10000</v>
      </c>
      <c r="J1013" s="1440"/>
      <c r="K1013" s="1490"/>
      <c r="L1013" s="1490"/>
    </row>
    <row r="1014" spans="1:12" ht="131.25">
      <c r="A1014" s="1566"/>
      <c r="B1014" s="425" t="s">
        <v>1594</v>
      </c>
      <c r="C1014" s="817">
        <v>30000</v>
      </c>
      <c r="D1014" s="817">
        <v>30000</v>
      </c>
      <c r="E1014" s="184"/>
      <c r="F1014" s="232"/>
      <c r="G1014" s="232"/>
      <c r="H1014" s="1497">
        <f t="shared" si="30"/>
        <v>0</v>
      </c>
      <c r="I1014" s="1497">
        <f t="shared" si="31"/>
        <v>60000</v>
      </c>
      <c r="J1014" s="1440"/>
      <c r="K1014" s="1490"/>
      <c r="L1014" s="1490"/>
    </row>
    <row r="1015" spans="1:12" ht="37.5">
      <c r="A1015" s="1566"/>
      <c r="B1015" s="425" t="s">
        <v>1595</v>
      </c>
      <c r="C1015" s="817">
        <v>5000</v>
      </c>
      <c r="D1015" s="817">
        <v>5000</v>
      </c>
      <c r="E1015" s="184"/>
      <c r="F1015" s="232"/>
      <c r="G1015" s="232"/>
      <c r="H1015" s="1497">
        <f t="shared" si="30"/>
        <v>0</v>
      </c>
      <c r="I1015" s="1497">
        <f t="shared" si="31"/>
        <v>10000</v>
      </c>
      <c r="J1015" s="1440"/>
      <c r="K1015" s="1490"/>
      <c r="L1015" s="1490"/>
    </row>
    <row r="1016" spans="1:12" ht="56.25">
      <c r="A1016" s="1566"/>
      <c r="B1016" s="425" t="s">
        <v>1596</v>
      </c>
      <c r="C1016" s="817">
        <v>10000</v>
      </c>
      <c r="D1016" s="817">
        <v>10000</v>
      </c>
      <c r="E1016" s="184"/>
      <c r="F1016" s="232"/>
      <c r="G1016" s="232"/>
      <c r="H1016" s="1497">
        <f t="shared" si="30"/>
        <v>0</v>
      </c>
      <c r="I1016" s="1497">
        <f t="shared" si="31"/>
        <v>20000</v>
      </c>
      <c r="J1016" s="1440"/>
      <c r="K1016" s="1490"/>
      <c r="L1016" s="1490"/>
    </row>
    <row r="1017" spans="1:12" hidden="1">
      <c r="A1017" s="1566"/>
      <c r="B1017" s="562"/>
      <c r="C1017" s="604"/>
      <c r="D1017" s="604"/>
      <c r="E1017" s="648"/>
      <c r="F1017" s="232"/>
      <c r="G1017" s="232"/>
      <c r="H1017" s="231">
        <f t="shared" si="30"/>
        <v>0</v>
      </c>
      <c r="I1017" s="231">
        <f t="shared" si="31"/>
        <v>0</v>
      </c>
    </row>
    <row r="1018" spans="1:12" hidden="1">
      <c r="A1018" s="1566"/>
      <c r="B1018" s="562"/>
      <c r="C1018" s="604"/>
      <c r="D1018" s="604"/>
      <c r="E1018" s="648"/>
      <c r="F1018" s="232"/>
      <c r="G1018" s="232"/>
      <c r="H1018" s="231">
        <f t="shared" si="30"/>
        <v>0</v>
      </c>
      <c r="I1018" s="231">
        <f t="shared" si="31"/>
        <v>0</v>
      </c>
    </row>
    <row r="1019" spans="1:12" hidden="1">
      <c r="A1019" s="1566"/>
      <c r="B1019" s="562"/>
      <c r="C1019" s="604"/>
      <c r="D1019" s="604"/>
      <c r="E1019" s="648"/>
      <c r="F1019" s="232"/>
      <c r="G1019" s="232"/>
      <c r="H1019" s="231">
        <f t="shared" si="30"/>
        <v>0</v>
      </c>
      <c r="I1019" s="231">
        <f t="shared" si="31"/>
        <v>0</v>
      </c>
    </row>
    <row r="1020" spans="1:12" hidden="1">
      <c r="A1020" s="1566"/>
      <c r="B1020" s="562"/>
      <c r="C1020" s="604"/>
      <c r="D1020" s="604"/>
      <c r="E1020" s="648"/>
      <c r="F1020" s="232"/>
      <c r="G1020" s="232"/>
      <c r="H1020" s="231">
        <f t="shared" si="30"/>
        <v>0</v>
      </c>
      <c r="I1020" s="231">
        <f t="shared" si="31"/>
        <v>0</v>
      </c>
    </row>
    <row r="1021" spans="1:12" hidden="1">
      <c r="A1021" s="1566"/>
      <c r="B1021" s="562"/>
      <c r="C1021" s="604"/>
      <c r="D1021" s="604"/>
      <c r="E1021" s="648"/>
      <c r="F1021" s="232"/>
      <c r="G1021" s="232"/>
      <c r="H1021" s="231">
        <f t="shared" si="30"/>
        <v>0</v>
      </c>
      <c r="I1021" s="231">
        <f t="shared" si="31"/>
        <v>0</v>
      </c>
    </row>
    <row r="1022" spans="1:12" hidden="1">
      <c r="A1022" s="1566"/>
      <c r="B1022" s="562"/>
      <c r="C1022" s="604"/>
      <c r="D1022" s="604"/>
      <c r="E1022" s="648"/>
      <c r="F1022" s="232"/>
      <c r="G1022" s="232"/>
      <c r="H1022" s="231">
        <f t="shared" si="30"/>
        <v>0</v>
      </c>
      <c r="I1022" s="231">
        <f t="shared" si="31"/>
        <v>0</v>
      </c>
    </row>
    <row r="1023" spans="1:12" hidden="1">
      <c r="A1023" s="1566"/>
      <c r="B1023" s="562"/>
      <c r="C1023" s="604"/>
      <c r="D1023" s="604"/>
      <c r="E1023" s="648"/>
      <c r="F1023" s="232"/>
      <c r="G1023" s="232"/>
      <c r="H1023" s="231">
        <f t="shared" si="30"/>
        <v>0</v>
      </c>
      <c r="I1023" s="231">
        <f t="shared" si="31"/>
        <v>0</v>
      </c>
    </row>
    <row r="1024" spans="1:12" hidden="1">
      <c r="A1024" s="1566"/>
      <c r="B1024" s="562"/>
      <c r="C1024" s="604"/>
      <c r="D1024" s="604"/>
      <c r="E1024" s="648"/>
      <c r="F1024" s="232"/>
      <c r="G1024" s="232"/>
      <c r="H1024" s="231">
        <f t="shared" si="30"/>
        <v>0</v>
      </c>
      <c r="I1024" s="231">
        <f t="shared" si="31"/>
        <v>0</v>
      </c>
    </row>
    <row r="1025" spans="1:9" hidden="1">
      <c r="A1025" s="1566"/>
      <c r="B1025" s="562"/>
      <c r="C1025" s="604"/>
      <c r="D1025" s="604"/>
      <c r="E1025" s="648"/>
      <c r="F1025" s="232"/>
      <c r="G1025" s="232"/>
      <c r="H1025" s="231">
        <f t="shared" si="30"/>
        <v>0</v>
      </c>
      <c r="I1025" s="231">
        <f t="shared" si="31"/>
        <v>0</v>
      </c>
    </row>
    <row r="1026" spans="1:9" hidden="1">
      <c r="A1026" s="1566"/>
      <c r="B1026" s="617"/>
      <c r="C1026" s="633"/>
      <c r="D1026" s="633"/>
      <c r="E1026" s="633"/>
      <c r="F1026" s="232"/>
      <c r="G1026" s="232"/>
      <c r="H1026" s="231">
        <f t="shared" si="30"/>
        <v>0</v>
      </c>
      <c r="I1026" s="231">
        <f t="shared" si="31"/>
        <v>0</v>
      </c>
    </row>
    <row r="1027" spans="1:9" hidden="1">
      <c r="A1027" s="1566"/>
      <c r="B1027" s="617"/>
      <c r="C1027" s="633"/>
      <c r="D1027" s="633"/>
      <c r="E1027" s="633"/>
      <c r="F1027" s="232"/>
      <c r="G1027" s="232"/>
      <c r="H1027" s="231">
        <f t="shared" si="30"/>
        <v>0</v>
      </c>
      <c r="I1027" s="231">
        <f t="shared" si="31"/>
        <v>0</v>
      </c>
    </row>
    <row r="1028" spans="1:9" hidden="1">
      <c r="A1028" s="1566"/>
      <c r="B1028" s="617"/>
      <c r="C1028" s="633"/>
      <c r="D1028" s="633"/>
      <c r="E1028" s="633"/>
      <c r="F1028" s="232"/>
      <c r="G1028" s="232"/>
      <c r="H1028" s="231">
        <f t="shared" si="30"/>
        <v>0</v>
      </c>
      <c r="I1028" s="231">
        <f t="shared" si="31"/>
        <v>0</v>
      </c>
    </row>
    <row r="1029" spans="1:9" hidden="1">
      <c r="A1029" s="1566"/>
      <c r="B1029" s="107"/>
      <c r="C1029" s="256"/>
      <c r="D1029" s="700"/>
      <c r="E1029" s="700"/>
      <c r="F1029" s="232"/>
      <c r="G1029" s="232"/>
      <c r="H1029" s="231">
        <f t="shared" si="30"/>
        <v>0</v>
      </c>
      <c r="I1029" s="231">
        <f t="shared" si="31"/>
        <v>0</v>
      </c>
    </row>
    <row r="1030" spans="1:9" hidden="1">
      <c r="A1030" s="1566"/>
      <c r="B1030" s="107"/>
      <c r="C1030" s="649"/>
      <c r="D1030" s="649"/>
      <c r="E1030" s="256"/>
      <c r="F1030" s="232"/>
      <c r="G1030" s="232"/>
      <c r="H1030" s="231">
        <f t="shared" si="30"/>
        <v>0</v>
      </c>
      <c r="I1030" s="231">
        <f t="shared" si="31"/>
        <v>0</v>
      </c>
    </row>
    <row r="1031" spans="1:9" hidden="1">
      <c r="A1031" s="1566"/>
      <c r="B1031" s="107"/>
      <c r="C1031" s="649"/>
      <c r="D1031" s="649"/>
      <c r="E1031" s="256"/>
      <c r="F1031" s="232"/>
      <c r="G1031" s="232"/>
      <c r="H1031" s="231">
        <f t="shared" si="30"/>
        <v>0</v>
      </c>
      <c r="I1031" s="231">
        <f t="shared" si="31"/>
        <v>0</v>
      </c>
    </row>
    <row r="1032" spans="1:9" hidden="1">
      <c r="A1032" s="1566"/>
      <c r="B1032" s="107"/>
      <c r="C1032" s="649"/>
      <c r="D1032" s="649"/>
      <c r="E1032" s="256"/>
      <c r="F1032" s="232"/>
      <c r="G1032" s="232"/>
      <c r="H1032" s="231">
        <f t="shared" si="30"/>
        <v>0</v>
      </c>
      <c r="I1032" s="231">
        <f t="shared" si="31"/>
        <v>0</v>
      </c>
    </row>
    <row r="1033" spans="1:9" hidden="1">
      <c r="A1033" s="1566"/>
      <c r="B1033" s="371"/>
      <c r="C1033" s="837"/>
      <c r="D1033" s="837"/>
      <c r="E1033" s="665"/>
      <c r="F1033" s="232"/>
      <c r="G1033" s="232"/>
      <c r="H1033" s="231">
        <f t="shared" ref="H1033:H1096" si="32">E1033+D1033-C1033</f>
        <v>0</v>
      </c>
      <c r="I1033" s="231">
        <f t="shared" ref="I1033:I1096" si="33">SUM(C1033:E1033)</f>
        <v>0</v>
      </c>
    </row>
    <row r="1034" spans="1:9" hidden="1">
      <c r="A1034" s="1566"/>
      <c r="B1034" s="371"/>
      <c r="C1034" s="833"/>
      <c r="D1034" s="833"/>
      <c r="E1034" s="833"/>
      <c r="F1034" s="232"/>
      <c r="G1034" s="232"/>
      <c r="H1034" s="231">
        <f t="shared" si="32"/>
        <v>0</v>
      </c>
      <c r="I1034" s="231">
        <f t="shared" si="33"/>
        <v>0</v>
      </c>
    </row>
    <row r="1035" spans="1:9" hidden="1">
      <c r="A1035" s="1566"/>
      <c r="B1035" s="371"/>
      <c r="C1035" s="649"/>
      <c r="D1035" s="649"/>
      <c r="E1035" s="256"/>
      <c r="F1035" s="232"/>
      <c r="G1035" s="232"/>
      <c r="H1035" s="231">
        <f t="shared" si="32"/>
        <v>0</v>
      </c>
      <c r="I1035" s="231">
        <f t="shared" si="33"/>
        <v>0</v>
      </c>
    </row>
    <row r="1036" spans="1:9" s="374" customFormat="1" hidden="1">
      <c r="A1036" s="1566"/>
      <c r="B1036" s="107"/>
      <c r="C1036" s="649"/>
      <c r="D1036" s="649"/>
      <c r="E1036" s="256"/>
      <c r="F1036" s="375"/>
      <c r="G1036" s="375"/>
      <c r="H1036" s="231">
        <f t="shared" si="32"/>
        <v>0</v>
      </c>
      <c r="I1036" s="231">
        <f t="shared" si="33"/>
        <v>0</v>
      </c>
    </row>
    <row r="1037" spans="1:9" hidden="1">
      <c r="A1037" s="1566"/>
      <c r="B1037" s="107"/>
      <c r="C1037" s="649"/>
      <c r="D1037" s="649"/>
      <c r="E1037" s="256"/>
      <c r="F1037" s="232"/>
      <c r="G1037" s="232"/>
      <c r="H1037" s="231">
        <f t="shared" si="32"/>
        <v>0</v>
      </c>
      <c r="I1037" s="231">
        <f t="shared" si="33"/>
        <v>0</v>
      </c>
    </row>
    <row r="1038" spans="1:9" hidden="1">
      <c r="A1038" s="1566"/>
      <c r="B1038" s="107"/>
      <c r="C1038" s="649"/>
      <c r="D1038" s="649"/>
      <c r="E1038" s="256"/>
      <c r="F1038" s="232"/>
      <c r="G1038" s="232"/>
      <c r="H1038" s="231">
        <f t="shared" si="32"/>
        <v>0</v>
      </c>
      <c r="I1038" s="231">
        <f t="shared" si="33"/>
        <v>0</v>
      </c>
    </row>
    <row r="1039" spans="1:9" hidden="1">
      <c r="A1039" s="1566"/>
      <c r="B1039" s="107"/>
      <c r="C1039" s="649"/>
      <c r="D1039" s="649"/>
      <c r="E1039" s="256"/>
      <c r="F1039" s="232"/>
      <c r="G1039" s="232"/>
      <c r="H1039" s="231">
        <f t="shared" si="32"/>
        <v>0</v>
      </c>
      <c r="I1039" s="231">
        <f t="shared" si="33"/>
        <v>0</v>
      </c>
    </row>
    <row r="1040" spans="1:9" hidden="1">
      <c r="A1040" s="1566"/>
      <c r="B1040" s="107"/>
      <c r="C1040" s="649"/>
      <c r="D1040" s="649"/>
      <c r="E1040" s="256"/>
      <c r="F1040" s="232"/>
      <c r="G1040" s="232"/>
      <c r="H1040" s="231">
        <f t="shared" si="32"/>
        <v>0</v>
      </c>
      <c r="I1040" s="231">
        <f t="shared" si="33"/>
        <v>0</v>
      </c>
    </row>
    <row r="1041" spans="1:9" hidden="1">
      <c r="A1041" s="1566"/>
      <c r="B1041" s="107"/>
      <c r="C1041" s="649"/>
      <c r="D1041" s="649"/>
      <c r="E1041" s="256"/>
      <c r="F1041" s="232"/>
      <c r="G1041" s="232"/>
      <c r="H1041" s="231">
        <f t="shared" si="32"/>
        <v>0</v>
      </c>
      <c r="I1041" s="231">
        <f t="shared" si="33"/>
        <v>0</v>
      </c>
    </row>
    <row r="1042" spans="1:9" hidden="1">
      <c r="A1042" s="1566"/>
      <c r="B1042" s="107"/>
      <c r="C1042" s="649"/>
      <c r="D1042" s="649"/>
      <c r="E1042" s="256"/>
      <c r="F1042" s="232"/>
      <c r="G1042" s="232"/>
      <c r="H1042" s="231">
        <f t="shared" si="32"/>
        <v>0</v>
      </c>
      <c r="I1042" s="231">
        <f t="shared" si="33"/>
        <v>0</v>
      </c>
    </row>
    <row r="1043" spans="1:9" hidden="1">
      <c r="A1043" s="1566"/>
      <c r="B1043" s="107"/>
      <c r="C1043" s="649"/>
      <c r="D1043" s="649"/>
      <c r="E1043" s="256"/>
      <c r="F1043" s="232"/>
      <c r="G1043" s="232"/>
      <c r="H1043" s="231">
        <f t="shared" si="32"/>
        <v>0</v>
      </c>
      <c r="I1043" s="231">
        <f t="shared" si="33"/>
        <v>0</v>
      </c>
    </row>
    <row r="1044" spans="1:9" hidden="1">
      <c r="A1044" s="1566"/>
      <c r="B1044" s="107"/>
      <c r="C1044" s="649"/>
      <c r="D1044" s="649"/>
      <c r="E1044" s="256"/>
      <c r="F1044" s="232"/>
      <c r="G1044" s="232"/>
      <c r="H1044" s="231">
        <f t="shared" si="32"/>
        <v>0</v>
      </c>
      <c r="I1044" s="231">
        <f t="shared" si="33"/>
        <v>0</v>
      </c>
    </row>
    <row r="1045" spans="1:9" hidden="1">
      <c r="A1045" s="1566"/>
      <c r="B1045" s="107"/>
      <c r="C1045" s="649"/>
      <c r="D1045" s="649"/>
      <c r="E1045" s="256"/>
      <c r="F1045" s="232"/>
      <c r="G1045" s="232"/>
      <c r="H1045" s="231">
        <f t="shared" si="32"/>
        <v>0</v>
      </c>
      <c r="I1045" s="231">
        <f t="shared" si="33"/>
        <v>0</v>
      </c>
    </row>
    <row r="1046" spans="1:9" hidden="1">
      <c r="A1046" s="1566"/>
      <c r="B1046" s="107"/>
      <c r="C1046" s="649"/>
      <c r="D1046" s="649"/>
      <c r="E1046" s="256"/>
      <c r="F1046" s="232"/>
      <c r="G1046" s="232"/>
      <c r="H1046" s="231">
        <f t="shared" si="32"/>
        <v>0</v>
      </c>
      <c r="I1046" s="231">
        <f t="shared" si="33"/>
        <v>0</v>
      </c>
    </row>
    <row r="1047" spans="1:9" hidden="1">
      <c r="A1047" s="1566"/>
      <c r="B1047" s="107"/>
      <c r="C1047" s="649"/>
      <c r="D1047" s="649"/>
      <c r="E1047" s="256"/>
      <c r="F1047" s="232"/>
      <c r="G1047" s="232"/>
      <c r="H1047" s="231">
        <f t="shared" si="32"/>
        <v>0</v>
      </c>
      <c r="I1047" s="231">
        <f t="shared" si="33"/>
        <v>0</v>
      </c>
    </row>
    <row r="1048" spans="1:9" hidden="1">
      <c r="A1048" s="1566"/>
      <c r="B1048" s="107"/>
      <c r="C1048" s="649"/>
      <c r="D1048" s="649"/>
      <c r="E1048" s="256"/>
      <c r="F1048" s="232"/>
      <c r="G1048" s="232"/>
      <c r="H1048" s="231">
        <f t="shared" si="32"/>
        <v>0</v>
      </c>
      <c r="I1048" s="231">
        <f t="shared" si="33"/>
        <v>0</v>
      </c>
    </row>
    <row r="1049" spans="1:9" hidden="1">
      <c r="A1049" s="1566"/>
      <c r="B1049" s="107"/>
      <c r="C1049" s="649"/>
      <c r="D1049" s="649"/>
      <c r="E1049" s="256"/>
      <c r="F1049" s="232"/>
      <c r="G1049" s="232"/>
      <c r="H1049" s="231">
        <f t="shared" si="32"/>
        <v>0</v>
      </c>
      <c r="I1049" s="231">
        <f t="shared" si="33"/>
        <v>0</v>
      </c>
    </row>
    <row r="1050" spans="1:9" hidden="1">
      <c r="A1050" s="1566"/>
      <c r="B1050" s="425"/>
      <c r="C1050" s="649"/>
      <c r="D1050" s="649"/>
      <c r="E1050" s="256"/>
      <c r="F1050" s="232"/>
      <c r="G1050" s="232"/>
      <c r="H1050" s="231">
        <f t="shared" si="32"/>
        <v>0</v>
      </c>
      <c r="I1050" s="231">
        <f t="shared" si="33"/>
        <v>0</v>
      </c>
    </row>
    <row r="1051" spans="1:9" hidden="1">
      <c r="A1051" s="1566"/>
      <c r="B1051" s="107"/>
      <c r="C1051" s="649"/>
      <c r="D1051" s="649"/>
      <c r="E1051" s="256"/>
      <c r="F1051" s="232"/>
      <c r="G1051" s="232"/>
      <c r="H1051" s="231">
        <f t="shared" si="32"/>
        <v>0</v>
      </c>
      <c r="I1051" s="231">
        <f t="shared" si="33"/>
        <v>0</v>
      </c>
    </row>
    <row r="1052" spans="1:9" hidden="1">
      <c r="A1052" s="1566"/>
      <c r="B1052" s="107"/>
      <c r="C1052" s="649"/>
      <c r="D1052" s="649"/>
      <c r="E1052" s="256"/>
      <c r="F1052" s="232"/>
      <c r="G1052" s="232"/>
      <c r="H1052" s="231">
        <f t="shared" si="32"/>
        <v>0</v>
      </c>
      <c r="I1052" s="231">
        <f t="shared" si="33"/>
        <v>0</v>
      </c>
    </row>
    <row r="1053" spans="1:9" hidden="1">
      <c r="A1053" s="1566"/>
      <c r="B1053" s="371"/>
      <c r="C1053" s="665"/>
      <c r="D1053" s="665"/>
      <c r="E1053" s="665"/>
      <c r="F1053" s="232"/>
      <c r="G1053" s="232"/>
      <c r="H1053" s="231">
        <f t="shared" si="32"/>
        <v>0</v>
      </c>
      <c r="I1053" s="231">
        <f t="shared" si="33"/>
        <v>0</v>
      </c>
    </row>
    <row r="1054" spans="1:9" hidden="1">
      <c r="A1054" s="1566"/>
      <c r="B1054" s="371"/>
      <c r="C1054" s="665"/>
      <c r="D1054" s="665"/>
      <c r="E1054" s="665"/>
      <c r="F1054" s="232"/>
      <c r="G1054" s="232"/>
      <c r="H1054" s="231">
        <f t="shared" si="32"/>
        <v>0</v>
      </c>
      <c r="I1054" s="231">
        <f t="shared" si="33"/>
        <v>0</v>
      </c>
    </row>
    <row r="1055" spans="1:9" hidden="1">
      <c r="A1055" s="1566"/>
      <c r="B1055" s="371"/>
      <c r="C1055" s="665"/>
      <c r="D1055" s="665"/>
      <c r="E1055" s="665"/>
      <c r="F1055" s="232"/>
      <c r="G1055" s="232"/>
      <c r="H1055" s="231">
        <f t="shared" si="32"/>
        <v>0</v>
      </c>
      <c r="I1055" s="231">
        <f t="shared" si="33"/>
        <v>0</v>
      </c>
    </row>
    <row r="1056" spans="1:9" hidden="1">
      <c r="A1056" s="1566"/>
      <c r="B1056" s="371"/>
      <c r="C1056" s="864"/>
      <c r="D1056" s="864"/>
      <c r="E1056" s="864"/>
      <c r="F1056" s="232"/>
      <c r="G1056" s="232"/>
      <c r="H1056" s="231">
        <f t="shared" si="32"/>
        <v>0</v>
      </c>
      <c r="I1056" s="231">
        <f t="shared" si="33"/>
        <v>0</v>
      </c>
    </row>
    <row r="1057" spans="1:9" hidden="1">
      <c r="A1057" s="1566"/>
      <c r="B1057" s="371"/>
      <c r="C1057" s="850"/>
      <c r="D1057" s="850"/>
      <c r="E1057" s="844"/>
      <c r="F1057" s="232"/>
      <c r="G1057" s="232"/>
      <c r="H1057" s="231">
        <f t="shared" si="32"/>
        <v>0</v>
      </c>
      <c r="I1057" s="231">
        <f t="shared" si="33"/>
        <v>0</v>
      </c>
    </row>
    <row r="1058" spans="1:9" hidden="1">
      <c r="A1058" s="1566"/>
      <c r="B1058" s="371"/>
      <c r="C1058" s="850"/>
      <c r="D1058" s="850"/>
      <c r="E1058" s="844"/>
      <c r="F1058" s="232"/>
      <c r="G1058" s="232"/>
      <c r="H1058" s="231">
        <f t="shared" si="32"/>
        <v>0</v>
      </c>
      <c r="I1058" s="231">
        <f t="shared" si="33"/>
        <v>0</v>
      </c>
    </row>
    <row r="1059" spans="1:9" hidden="1">
      <c r="A1059" s="1566"/>
      <c r="B1059" s="371"/>
      <c r="C1059" s="850"/>
      <c r="D1059" s="850"/>
      <c r="E1059" s="844"/>
      <c r="F1059" s="232"/>
      <c r="G1059" s="232"/>
      <c r="H1059" s="231">
        <f t="shared" si="32"/>
        <v>0</v>
      </c>
      <c r="I1059" s="231">
        <f t="shared" si="33"/>
        <v>0</v>
      </c>
    </row>
    <row r="1060" spans="1:9" hidden="1">
      <c r="A1060" s="1566"/>
      <c r="B1060" s="371"/>
      <c r="C1060" s="850"/>
      <c r="D1060" s="850"/>
      <c r="E1060" s="844"/>
      <c r="F1060" s="232"/>
      <c r="G1060" s="232"/>
      <c r="H1060" s="231">
        <f t="shared" si="32"/>
        <v>0</v>
      </c>
      <c r="I1060" s="231">
        <f t="shared" si="33"/>
        <v>0</v>
      </c>
    </row>
    <row r="1061" spans="1:9" hidden="1">
      <c r="A1061" s="1566"/>
      <c r="B1061" s="371"/>
      <c r="C1061" s="846"/>
      <c r="D1061" s="846"/>
      <c r="E1061" s="846"/>
      <c r="F1061" s="232"/>
      <c r="G1061" s="232"/>
      <c r="H1061" s="231">
        <f t="shared" si="32"/>
        <v>0</v>
      </c>
      <c r="I1061" s="231">
        <f t="shared" si="33"/>
        <v>0</v>
      </c>
    </row>
    <row r="1062" spans="1:9" hidden="1">
      <c r="A1062" s="1566"/>
      <c r="B1062" s="371"/>
      <c r="C1062" s="846"/>
      <c r="D1062" s="846"/>
      <c r="E1062" s="846"/>
      <c r="F1062" s="232"/>
      <c r="G1062" s="232"/>
      <c r="H1062" s="231">
        <f t="shared" si="32"/>
        <v>0</v>
      </c>
      <c r="I1062" s="231">
        <f t="shared" si="33"/>
        <v>0</v>
      </c>
    </row>
    <row r="1063" spans="1:9" hidden="1">
      <c r="A1063" s="1566"/>
      <c r="B1063" s="385"/>
      <c r="C1063" s="638"/>
      <c r="D1063" s="638"/>
      <c r="E1063" s="639"/>
      <c r="F1063" s="232"/>
      <c r="G1063" s="232"/>
      <c r="H1063" s="231">
        <f t="shared" si="32"/>
        <v>0</v>
      </c>
      <c r="I1063" s="231">
        <f t="shared" si="33"/>
        <v>0</v>
      </c>
    </row>
    <row r="1064" spans="1:9" hidden="1">
      <c r="A1064" s="1566"/>
      <c r="B1064" s="385"/>
      <c r="C1064" s="638"/>
      <c r="D1064" s="638"/>
      <c r="E1064" s="639"/>
      <c r="F1064" s="232"/>
      <c r="G1064" s="232"/>
      <c r="H1064" s="231">
        <f t="shared" si="32"/>
        <v>0</v>
      </c>
      <c r="I1064" s="231">
        <f t="shared" si="33"/>
        <v>0</v>
      </c>
    </row>
    <row r="1065" spans="1:9" hidden="1">
      <c r="A1065" s="1566"/>
      <c r="B1065" s="385"/>
      <c r="C1065" s="638"/>
      <c r="D1065" s="638"/>
      <c r="E1065" s="639"/>
      <c r="F1065" s="232"/>
      <c r="G1065" s="232"/>
      <c r="H1065" s="231">
        <f t="shared" si="32"/>
        <v>0</v>
      </c>
      <c r="I1065" s="231">
        <f t="shared" si="33"/>
        <v>0</v>
      </c>
    </row>
    <row r="1066" spans="1:9" hidden="1">
      <c r="A1066" s="1566"/>
      <c r="B1066" s="390"/>
      <c r="C1066" s="651"/>
      <c r="D1066" s="652"/>
      <c r="E1066" s="652"/>
      <c r="F1066" s="232"/>
      <c r="G1066" s="232"/>
      <c r="H1066" s="231">
        <f t="shared" si="32"/>
        <v>0</v>
      </c>
      <c r="I1066" s="231">
        <f t="shared" si="33"/>
        <v>0</v>
      </c>
    </row>
    <row r="1067" spans="1:9" hidden="1">
      <c r="A1067" s="1566"/>
      <c r="B1067" s="107"/>
      <c r="C1067" s="654"/>
      <c r="D1067" s="654"/>
      <c r="E1067" s="256"/>
      <c r="F1067" s="232"/>
      <c r="G1067" s="232"/>
      <c r="H1067" s="231">
        <f t="shared" si="32"/>
        <v>0</v>
      </c>
      <c r="I1067" s="231">
        <f t="shared" si="33"/>
        <v>0</v>
      </c>
    </row>
    <row r="1068" spans="1:9" hidden="1">
      <c r="A1068" s="1566"/>
      <c r="B1068" s="107"/>
      <c r="C1068" s="654"/>
      <c r="D1068" s="654"/>
      <c r="E1068" s="256"/>
      <c r="F1068" s="232"/>
      <c r="G1068" s="232"/>
      <c r="H1068" s="231">
        <f t="shared" si="32"/>
        <v>0</v>
      </c>
      <c r="I1068" s="231">
        <f t="shared" si="33"/>
        <v>0</v>
      </c>
    </row>
    <row r="1069" spans="1:9" hidden="1">
      <c r="A1069" s="1566"/>
      <c r="B1069" s="107"/>
      <c r="C1069" s="654"/>
      <c r="D1069" s="654"/>
      <c r="E1069" s="256"/>
      <c r="F1069" s="232"/>
      <c r="G1069" s="232"/>
      <c r="H1069" s="231">
        <f t="shared" si="32"/>
        <v>0</v>
      </c>
      <c r="I1069" s="231">
        <f t="shared" si="33"/>
        <v>0</v>
      </c>
    </row>
    <row r="1070" spans="1:9" hidden="1">
      <c r="A1070" s="1566"/>
      <c r="B1070" s="107"/>
      <c r="C1070" s="654"/>
      <c r="D1070" s="654"/>
      <c r="E1070" s="256"/>
      <c r="F1070" s="232"/>
      <c r="G1070" s="232"/>
      <c r="H1070" s="231">
        <f t="shared" si="32"/>
        <v>0</v>
      </c>
      <c r="I1070" s="231">
        <f t="shared" si="33"/>
        <v>0</v>
      </c>
    </row>
    <row r="1071" spans="1:9" hidden="1">
      <c r="A1071" s="1566"/>
      <c r="B1071" s="107"/>
      <c r="C1071" s="654"/>
      <c r="D1071" s="654"/>
      <c r="E1071" s="256"/>
      <c r="F1071" s="232"/>
      <c r="G1071" s="232"/>
      <c r="H1071" s="231">
        <f t="shared" si="32"/>
        <v>0</v>
      </c>
      <c r="I1071" s="231">
        <f t="shared" si="33"/>
        <v>0</v>
      </c>
    </row>
    <row r="1072" spans="1:9" hidden="1">
      <c r="A1072" s="1566"/>
      <c r="B1072" s="107"/>
      <c r="C1072" s="654"/>
      <c r="D1072" s="654"/>
      <c r="E1072" s="256"/>
      <c r="F1072" s="232"/>
      <c r="G1072" s="232"/>
      <c r="H1072" s="231">
        <f t="shared" si="32"/>
        <v>0</v>
      </c>
      <c r="I1072" s="231">
        <f t="shared" si="33"/>
        <v>0</v>
      </c>
    </row>
    <row r="1073" spans="1:9" hidden="1">
      <c r="A1073" s="1566"/>
      <c r="B1073" s="107"/>
      <c r="C1073" s="654"/>
      <c r="D1073" s="654"/>
      <c r="E1073" s="256"/>
      <c r="F1073" s="232"/>
      <c r="G1073" s="232"/>
      <c r="H1073" s="231">
        <f t="shared" si="32"/>
        <v>0</v>
      </c>
      <c r="I1073" s="231">
        <f t="shared" si="33"/>
        <v>0</v>
      </c>
    </row>
    <row r="1074" spans="1:9" hidden="1">
      <c r="A1074" s="1566"/>
      <c r="B1074" s="107"/>
      <c r="C1074" s="654"/>
      <c r="D1074" s="654"/>
      <c r="E1074" s="256"/>
      <c r="F1074" s="232"/>
      <c r="G1074" s="232"/>
      <c r="H1074" s="231">
        <f t="shared" si="32"/>
        <v>0</v>
      </c>
      <c r="I1074" s="231">
        <f t="shared" si="33"/>
        <v>0</v>
      </c>
    </row>
    <row r="1075" spans="1:9" hidden="1">
      <c r="A1075" s="1566"/>
      <c r="B1075" s="107"/>
      <c r="C1075" s="654"/>
      <c r="D1075" s="654"/>
      <c r="E1075" s="256"/>
      <c r="F1075" s="232"/>
      <c r="G1075" s="232"/>
      <c r="H1075" s="231">
        <f t="shared" si="32"/>
        <v>0</v>
      </c>
      <c r="I1075" s="231">
        <f t="shared" si="33"/>
        <v>0</v>
      </c>
    </row>
    <row r="1076" spans="1:9" hidden="1">
      <c r="A1076" s="1566"/>
      <c r="B1076" s="107"/>
      <c r="C1076" s="654"/>
      <c r="D1076" s="654"/>
      <c r="E1076" s="256"/>
      <c r="F1076" s="232"/>
      <c r="G1076" s="232"/>
      <c r="H1076" s="231">
        <f t="shared" si="32"/>
        <v>0</v>
      </c>
      <c r="I1076" s="231">
        <f t="shared" si="33"/>
        <v>0</v>
      </c>
    </row>
    <row r="1077" spans="1:9" hidden="1">
      <c r="A1077" s="1566"/>
      <c r="B1077" s="107"/>
      <c r="C1077" s="654"/>
      <c r="D1077" s="654"/>
      <c r="E1077" s="256"/>
      <c r="F1077" s="232"/>
      <c r="G1077" s="232"/>
      <c r="H1077" s="231">
        <f t="shared" si="32"/>
        <v>0</v>
      </c>
      <c r="I1077" s="231">
        <f t="shared" si="33"/>
        <v>0</v>
      </c>
    </row>
    <row r="1078" spans="1:9" hidden="1">
      <c r="A1078" s="1566"/>
      <c r="B1078" s="107"/>
      <c r="C1078" s="654"/>
      <c r="D1078" s="654"/>
      <c r="E1078" s="256"/>
      <c r="F1078" s="232"/>
      <c r="G1078" s="232"/>
      <c r="H1078" s="231">
        <f t="shared" si="32"/>
        <v>0</v>
      </c>
      <c r="I1078" s="231">
        <f t="shared" si="33"/>
        <v>0</v>
      </c>
    </row>
    <row r="1079" spans="1:9" hidden="1">
      <c r="A1079" s="1569"/>
      <c r="B1079" s="273"/>
      <c r="C1079" s="682"/>
      <c r="D1079" s="682"/>
      <c r="E1079" s="275"/>
      <c r="F1079" s="232"/>
      <c r="G1079" s="232"/>
      <c r="H1079" s="231">
        <f t="shared" si="32"/>
        <v>0</v>
      </c>
      <c r="I1079" s="231">
        <f t="shared" si="33"/>
        <v>0</v>
      </c>
    </row>
    <row r="1080" spans="1:9" hidden="1">
      <c r="A1080" s="1569"/>
      <c r="B1080" s="107"/>
      <c r="C1080" s="654"/>
      <c r="D1080" s="654"/>
      <c r="E1080" s="256"/>
      <c r="F1080" s="232"/>
      <c r="G1080" s="232"/>
      <c r="H1080" s="231">
        <f t="shared" si="32"/>
        <v>0</v>
      </c>
      <c r="I1080" s="231">
        <f t="shared" si="33"/>
        <v>0</v>
      </c>
    </row>
    <row r="1081" spans="1:9" hidden="1">
      <c r="A1081" s="1569"/>
      <c r="B1081" s="107"/>
      <c r="C1081" s="654"/>
      <c r="D1081" s="654"/>
      <c r="E1081" s="256"/>
      <c r="F1081" s="232"/>
      <c r="G1081" s="232"/>
      <c r="H1081" s="231">
        <f t="shared" si="32"/>
        <v>0</v>
      </c>
      <c r="I1081" s="231">
        <f t="shared" si="33"/>
        <v>0</v>
      </c>
    </row>
    <row r="1082" spans="1:9" hidden="1">
      <c r="A1082" s="1569"/>
      <c r="B1082" s="107"/>
      <c r="C1082" s="654"/>
      <c r="D1082" s="654"/>
      <c r="E1082" s="256"/>
      <c r="F1082" s="232"/>
      <c r="G1082" s="232"/>
      <c r="H1082" s="231">
        <f t="shared" si="32"/>
        <v>0</v>
      </c>
      <c r="I1082" s="231">
        <f t="shared" si="33"/>
        <v>0</v>
      </c>
    </row>
    <row r="1083" spans="1:9" hidden="1">
      <c r="A1083" s="1569"/>
      <c r="B1083" s="107"/>
      <c r="C1083" s="654"/>
      <c r="D1083" s="654"/>
      <c r="E1083" s="256"/>
      <c r="F1083" s="232"/>
      <c r="G1083" s="232"/>
      <c r="H1083" s="231">
        <f t="shared" si="32"/>
        <v>0</v>
      </c>
      <c r="I1083" s="231">
        <f t="shared" si="33"/>
        <v>0</v>
      </c>
    </row>
    <row r="1084" spans="1:9" hidden="1">
      <c r="A1084" s="1569"/>
      <c r="B1084" s="107"/>
      <c r="C1084" s="654"/>
      <c r="D1084" s="654"/>
      <c r="E1084" s="256"/>
      <c r="F1084" s="232"/>
      <c r="G1084" s="232"/>
      <c r="H1084" s="231">
        <f t="shared" si="32"/>
        <v>0</v>
      </c>
      <c r="I1084" s="231">
        <f t="shared" si="33"/>
        <v>0</v>
      </c>
    </row>
    <row r="1085" spans="1:9" hidden="1">
      <c r="A1085" s="1569"/>
      <c r="B1085" s="107"/>
      <c r="C1085" s="654"/>
      <c r="D1085" s="654"/>
      <c r="E1085" s="256"/>
      <c r="F1085" s="232"/>
      <c r="G1085" s="232"/>
      <c r="H1085" s="231">
        <f t="shared" si="32"/>
        <v>0</v>
      </c>
      <c r="I1085" s="231">
        <f t="shared" si="33"/>
        <v>0</v>
      </c>
    </row>
    <row r="1086" spans="1:9" hidden="1">
      <c r="A1086" s="1569"/>
      <c r="B1086" s="107"/>
      <c r="C1086" s="654"/>
      <c r="D1086" s="654"/>
      <c r="E1086" s="256"/>
      <c r="F1086" s="232"/>
      <c r="G1086" s="232"/>
      <c r="H1086" s="231">
        <f t="shared" si="32"/>
        <v>0</v>
      </c>
      <c r="I1086" s="231">
        <f t="shared" si="33"/>
        <v>0</v>
      </c>
    </row>
    <row r="1087" spans="1:9" hidden="1">
      <c r="A1087" s="1569"/>
      <c r="B1087" s="107"/>
      <c r="C1087" s="654"/>
      <c r="D1087" s="654"/>
      <c r="E1087" s="256"/>
      <c r="F1087" s="232"/>
      <c r="G1087" s="232"/>
      <c r="H1087" s="231">
        <f t="shared" si="32"/>
        <v>0</v>
      </c>
      <c r="I1087" s="231">
        <f t="shared" si="33"/>
        <v>0</v>
      </c>
    </row>
    <row r="1088" spans="1:9" hidden="1">
      <c r="A1088" s="1569"/>
      <c r="B1088" s="107"/>
      <c r="C1088" s="654"/>
      <c r="D1088" s="654"/>
      <c r="E1088" s="256"/>
      <c r="F1088" s="232"/>
      <c r="G1088" s="232"/>
      <c r="H1088" s="231">
        <f t="shared" si="32"/>
        <v>0</v>
      </c>
      <c r="I1088" s="231">
        <f t="shared" si="33"/>
        <v>0</v>
      </c>
    </row>
    <row r="1089" spans="1:12" hidden="1">
      <c r="A1089" s="1569"/>
      <c r="B1089" s="107"/>
      <c r="C1089" s="654"/>
      <c r="D1089" s="654"/>
      <c r="E1089" s="256"/>
      <c r="F1089" s="232"/>
      <c r="G1089" s="232"/>
      <c r="H1089" s="231">
        <f t="shared" si="32"/>
        <v>0</v>
      </c>
      <c r="I1089" s="231">
        <f t="shared" si="33"/>
        <v>0</v>
      </c>
    </row>
    <row r="1090" spans="1:12" hidden="1">
      <c r="A1090" s="1569"/>
      <c r="B1090" s="107"/>
      <c r="C1090" s="654"/>
      <c r="D1090" s="654"/>
      <c r="E1090" s="256"/>
      <c r="F1090" s="232"/>
      <c r="G1090" s="232"/>
      <c r="H1090" s="231">
        <f t="shared" si="32"/>
        <v>0</v>
      </c>
      <c r="I1090" s="231">
        <f t="shared" si="33"/>
        <v>0</v>
      </c>
    </row>
    <row r="1091" spans="1:12" hidden="1">
      <c r="A1091" s="1569"/>
      <c r="B1091" s="107"/>
      <c r="C1091" s="654"/>
      <c r="D1091" s="654"/>
      <c r="E1091" s="256"/>
      <c r="F1091" s="232"/>
      <c r="G1091" s="232"/>
      <c r="H1091" s="231">
        <f t="shared" si="32"/>
        <v>0</v>
      </c>
      <c r="I1091" s="231">
        <f t="shared" si="33"/>
        <v>0</v>
      </c>
    </row>
    <row r="1092" spans="1:12" hidden="1">
      <c r="A1092" s="1569"/>
      <c r="B1092" s="181"/>
      <c r="C1092" s="654"/>
      <c r="D1092" s="654"/>
      <c r="E1092" s="655"/>
      <c r="F1092" s="232"/>
      <c r="G1092" s="232"/>
      <c r="H1092" s="231">
        <f t="shared" si="32"/>
        <v>0</v>
      </c>
      <c r="I1092" s="231">
        <f t="shared" si="33"/>
        <v>0</v>
      </c>
    </row>
    <row r="1093" spans="1:12" hidden="1">
      <c r="A1093" s="1569"/>
      <c r="B1093" s="181"/>
      <c r="C1093" s="654"/>
      <c r="D1093" s="654"/>
      <c r="E1093" s="655"/>
      <c r="F1093" s="232"/>
      <c r="G1093" s="232"/>
      <c r="H1093" s="231">
        <f t="shared" si="32"/>
        <v>0</v>
      </c>
      <c r="I1093" s="231">
        <f t="shared" si="33"/>
        <v>0</v>
      </c>
    </row>
    <row r="1094" spans="1:12" hidden="1">
      <c r="A1094" s="1569"/>
      <c r="B1094" s="181"/>
      <c r="C1094" s="654"/>
      <c r="D1094" s="654"/>
      <c r="E1094" s="655"/>
      <c r="F1094" s="232"/>
      <c r="G1094" s="232"/>
      <c r="H1094" s="231">
        <f t="shared" si="32"/>
        <v>0</v>
      </c>
      <c r="I1094" s="231">
        <f t="shared" si="33"/>
        <v>0</v>
      </c>
    </row>
    <row r="1095" spans="1:12" hidden="1">
      <c r="A1095" s="1569"/>
      <c r="B1095" s="181"/>
      <c r="C1095" s="654"/>
      <c r="D1095" s="654"/>
      <c r="E1095" s="655"/>
      <c r="F1095" s="232"/>
      <c r="G1095" s="232"/>
      <c r="H1095" s="231">
        <f t="shared" si="32"/>
        <v>0</v>
      </c>
      <c r="I1095" s="231">
        <f t="shared" si="33"/>
        <v>0</v>
      </c>
    </row>
    <row r="1096" spans="1:12" hidden="1">
      <c r="A1096" s="1569"/>
      <c r="B1096" s="181"/>
      <c r="C1096" s="654"/>
      <c r="D1096" s="654"/>
      <c r="E1096" s="655"/>
      <c r="F1096" s="232"/>
      <c r="G1096" s="232"/>
      <c r="H1096" s="231">
        <f t="shared" si="32"/>
        <v>0</v>
      </c>
      <c r="I1096" s="231">
        <f t="shared" si="33"/>
        <v>0</v>
      </c>
    </row>
    <row r="1097" spans="1:12" hidden="1">
      <c r="A1097" s="1569"/>
      <c r="B1097" s="181"/>
      <c r="C1097" s="654"/>
      <c r="D1097" s="654"/>
      <c r="E1097" s="655"/>
      <c r="F1097" s="232"/>
      <c r="G1097" s="232"/>
      <c r="H1097" s="231">
        <f t="shared" ref="H1097:H1160" si="34">E1097+D1097-C1097</f>
        <v>0</v>
      </c>
      <c r="I1097" s="231">
        <f t="shared" ref="I1097:I1160" si="35">SUM(C1097:E1097)</f>
        <v>0</v>
      </c>
    </row>
    <row r="1098" spans="1:12" s="7" customFormat="1" ht="18" hidden="1" customHeight="1">
      <c r="A1098" s="1554"/>
      <c r="B1098" s="268"/>
      <c r="C1098" s="656"/>
      <c r="D1098" s="656"/>
      <c r="E1098" s="687"/>
      <c r="F1098" s="232"/>
      <c r="G1098" s="232"/>
      <c r="H1098" s="231">
        <f t="shared" si="34"/>
        <v>0</v>
      </c>
      <c r="I1098" s="231">
        <f t="shared" si="35"/>
        <v>0</v>
      </c>
    </row>
    <row r="1099" spans="1:12">
      <c r="A1099" s="1566"/>
      <c r="B1099" s="209" t="s">
        <v>985</v>
      </c>
      <c r="C1099" s="581">
        <f>SUM(C1000:C1098)</f>
        <v>1245136</v>
      </c>
      <c r="D1099" s="581">
        <f>SUM(D1000:D1098)</f>
        <v>1059136</v>
      </c>
      <c r="E1099" s="581">
        <f>SUM(E1000:E1098)</f>
        <v>186000</v>
      </c>
      <c r="F1099" s="263">
        <f>SUM(F1000:F1002)</f>
        <v>0</v>
      </c>
      <c r="G1099" s="236">
        <f>SUM(G1000:G1002)</f>
        <v>0</v>
      </c>
      <c r="H1099" s="1497">
        <f t="shared" si="34"/>
        <v>0</v>
      </c>
      <c r="I1099" s="1497">
        <f t="shared" si="35"/>
        <v>2490272</v>
      </c>
      <c r="J1099" s="1440"/>
      <c r="K1099" s="1490"/>
      <c r="L1099" s="1490"/>
    </row>
    <row r="1100" spans="1:12" ht="75">
      <c r="A1100" s="1566" t="s">
        <v>1152</v>
      </c>
      <c r="B1100" s="181" t="s">
        <v>772</v>
      </c>
      <c r="C1100" s="644">
        <v>43700</v>
      </c>
      <c r="D1100" s="589">
        <v>43700</v>
      </c>
      <c r="E1100" s="644"/>
      <c r="F1100" s="237"/>
      <c r="G1100" s="237"/>
      <c r="H1100" s="1497">
        <f t="shared" si="34"/>
        <v>0</v>
      </c>
      <c r="I1100" s="1497">
        <f t="shared" si="35"/>
        <v>87400</v>
      </c>
      <c r="J1100" s="1440"/>
      <c r="K1100" s="1490"/>
      <c r="L1100" s="1490"/>
    </row>
    <row r="1101" spans="1:12" ht="112.5">
      <c r="A1101" s="1566"/>
      <c r="B1101" s="107" t="s">
        <v>773</v>
      </c>
      <c r="C1101" s="589">
        <v>100000</v>
      </c>
      <c r="D1101" s="589"/>
      <c r="E1101" s="510">
        <v>100000</v>
      </c>
      <c r="F1101" s="232"/>
      <c r="G1101" s="232"/>
      <c r="H1101" s="1497">
        <f t="shared" si="34"/>
        <v>0</v>
      </c>
      <c r="I1101" s="1497">
        <f t="shared" si="35"/>
        <v>200000</v>
      </c>
      <c r="J1101" s="1440"/>
      <c r="K1101" s="1490"/>
      <c r="L1101" s="1490"/>
    </row>
    <row r="1102" spans="1:12" ht="37.5">
      <c r="A1102" s="1566"/>
      <c r="B1102" s="369" t="s">
        <v>1273</v>
      </c>
      <c r="C1102" s="589">
        <v>376682</v>
      </c>
      <c r="D1102" s="589">
        <v>376682</v>
      </c>
      <c r="E1102" s="510"/>
      <c r="F1102" s="232"/>
      <c r="G1102" s="232"/>
      <c r="H1102" s="1497">
        <f t="shared" si="34"/>
        <v>0</v>
      </c>
      <c r="I1102" s="1497">
        <f t="shared" si="35"/>
        <v>753364</v>
      </c>
      <c r="J1102" s="1440"/>
      <c r="K1102" s="1490"/>
      <c r="L1102" s="1490"/>
    </row>
    <row r="1103" spans="1:12" ht="56.25">
      <c r="A1103" s="1566"/>
      <c r="B1103" s="1215" t="s">
        <v>1360</v>
      </c>
      <c r="C1103" s="1214">
        <v>15000</v>
      </c>
      <c r="D1103" s="256"/>
      <c r="E1103" s="256">
        <v>15000</v>
      </c>
      <c r="F1103" s="232"/>
      <c r="G1103" s="232"/>
      <c r="H1103" s="1497">
        <f t="shared" si="34"/>
        <v>0</v>
      </c>
      <c r="I1103" s="1497">
        <f t="shared" si="35"/>
        <v>30000</v>
      </c>
      <c r="J1103" s="1440"/>
      <c r="K1103" s="1490"/>
      <c r="L1103" s="1490"/>
    </row>
    <row r="1104" spans="1:12" s="458" customFormat="1" ht="112.5">
      <c r="A1104" s="1566"/>
      <c r="B1104" s="1215" t="s">
        <v>1361</v>
      </c>
      <c r="C1104" s="1214">
        <v>100000</v>
      </c>
      <c r="D1104" s="256">
        <v>100000</v>
      </c>
      <c r="E1104" s="256"/>
      <c r="F1104" s="354"/>
      <c r="G1104" s="354"/>
      <c r="H1104" s="1497">
        <f t="shared" si="34"/>
        <v>0</v>
      </c>
      <c r="I1104" s="1497">
        <f t="shared" si="35"/>
        <v>200000</v>
      </c>
      <c r="J1104" s="1440"/>
      <c r="K1104" s="1490"/>
      <c r="L1104" s="1490"/>
    </row>
    <row r="1105" spans="1:12" ht="112.5">
      <c r="A1105" s="1566"/>
      <c r="B1105" s="107" t="s">
        <v>1597</v>
      </c>
      <c r="C1105" s="817">
        <v>5100</v>
      </c>
      <c r="D1105" s="1226"/>
      <c r="E1105" s="1227">
        <v>5100</v>
      </c>
      <c r="F1105" s="232"/>
      <c r="G1105" s="232"/>
      <c r="H1105" s="1497">
        <f t="shared" si="34"/>
        <v>0</v>
      </c>
      <c r="I1105" s="1497">
        <f t="shared" si="35"/>
        <v>10200</v>
      </c>
      <c r="J1105" s="1440"/>
      <c r="K1105" s="1490"/>
      <c r="L1105" s="1490"/>
    </row>
    <row r="1106" spans="1:12" ht="93.75">
      <c r="A1106" s="1566"/>
      <c r="B1106" s="425" t="s">
        <v>1598</v>
      </c>
      <c r="C1106" s="1226">
        <v>50000</v>
      </c>
      <c r="D1106" s="1226">
        <v>50000</v>
      </c>
      <c r="E1106" s="1227"/>
      <c r="F1106" s="232"/>
      <c r="G1106" s="232"/>
      <c r="H1106" s="1497">
        <f t="shared" si="34"/>
        <v>0</v>
      </c>
      <c r="I1106" s="1497">
        <f t="shared" si="35"/>
        <v>100000</v>
      </c>
      <c r="J1106" s="1440"/>
      <c r="K1106" s="1490"/>
      <c r="L1106" s="1490"/>
    </row>
    <row r="1107" spans="1:12" ht="56.25">
      <c r="A1107" s="1566"/>
      <c r="B1107" s="425" t="s">
        <v>1599</v>
      </c>
      <c r="C1107" s="1226">
        <v>30000</v>
      </c>
      <c r="D1107" s="1226">
        <v>30000</v>
      </c>
      <c r="E1107" s="1227"/>
      <c r="F1107" s="232"/>
      <c r="G1107" s="232"/>
      <c r="H1107" s="1497">
        <f t="shared" si="34"/>
        <v>0</v>
      </c>
      <c r="I1107" s="1497">
        <f t="shared" si="35"/>
        <v>60000</v>
      </c>
      <c r="J1107" s="1440"/>
      <c r="K1107" s="1490"/>
      <c r="L1107" s="1490"/>
    </row>
    <row r="1108" spans="1:12" ht="56.25">
      <c r="A1108" s="1566"/>
      <c r="B1108" s="107" t="s">
        <v>1600</v>
      </c>
      <c r="C1108" s="817">
        <v>90000</v>
      </c>
      <c r="D1108" s="641">
        <v>90000</v>
      </c>
      <c r="E1108" s="1234"/>
      <c r="F1108" s="232"/>
      <c r="G1108" s="232"/>
      <c r="H1108" s="1497">
        <f t="shared" si="34"/>
        <v>0</v>
      </c>
      <c r="I1108" s="1497">
        <f t="shared" si="35"/>
        <v>180000</v>
      </c>
      <c r="J1108" s="1440"/>
      <c r="K1108" s="1490"/>
      <c r="L1108" s="1490"/>
    </row>
    <row r="1109" spans="1:12" s="7" customFormat="1" ht="37.5">
      <c r="A1109" s="1558"/>
      <c r="B1109" s="107" t="s">
        <v>1601</v>
      </c>
      <c r="C1109" s="817">
        <v>17000</v>
      </c>
      <c r="D1109" s="641">
        <v>17000</v>
      </c>
      <c r="E1109" s="1234"/>
      <c r="F1109" s="232"/>
      <c r="G1109" s="232"/>
      <c r="H1109" s="1497">
        <f t="shared" si="34"/>
        <v>0</v>
      </c>
      <c r="I1109" s="1497">
        <f t="shared" si="35"/>
        <v>34000</v>
      </c>
      <c r="J1109" s="1435"/>
      <c r="K1109" s="1491"/>
      <c r="L1109" s="1491"/>
    </row>
    <row r="1110" spans="1:12" s="7" customFormat="1" hidden="1">
      <c r="A1110" s="1558"/>
      <c r="B1110" s="107"/>
      <c r="C1110" s="649"/>
      <c r="D1110" s="649"/>
      <c r="E1110" s="256"/>
      <c r="F1110" s="232"/>
      <c r="G1110" s="232"/>
      <c r="H1110" s="231">
        <f t="shared" si="34"/>
        <v>0</v>
      </c>
      <c r="I1110" s="231">
        <f t="shared" si="35"/>
        <v>0</v>
      </c>
    </row>
    <row r="1111" spans="1:12" s="7" customFormat="1" hidden="1">
      <c r="A1111" s="1558"/>
      <c r="B1111" s="821"/>
      <c r="C1111" s="850"/>
      <c r="D1111" s="850"/>
      <c r="E1111" s="665"/>
      <c r="F1111" s="232"/>
      <c r="G1111" s="232"/>
      <c r="H1111" s="231">
        <f t="shared" si="34"/>
        <v>0</v>
      </c>
      <c r="I1111" s="231">
        <f t="shared" si="35"/>
        <v>0</v>
      </c>
    </row>
    <row r="1112" spans="1:12" s="7" customFormat="1" hidden="1">
      <c r="A1112" s="1558"/>
      <c r="B1112" s="107"/>
      <c r="C1112" s="649"/>
      <c r="D1112" s="649"/>
      <c r="E1112" s="256"/>
      <c r="F1112" s="232"/>
      <c r="G1112" s="232"/>
      <c r="H1112" s="231">
        <f t="shared" si="34"/>
        <v>0</v>
      </c>
      <c r="I1112" s="231">
        <f t="shared" si="35"/>
        <v>0</v>
      </c>
    </row>
    <row r="1113" spans="1:12" s="7" customFormat="1" hidden="1">
      <c r="A1113" s="1558"/>
      <c r="B1113" s="371"/>
      <c r="C1113" s="831"/>
      <c r="D1113" s="665"/>
      <c r="E1113" s="665"/>
      <c r="F1113" s="232"/>
      <c r="G1113" s="232"/>
      <c r="H1113" s="231">
        <f t="shared" si="34"/>
        <v>0</v>
      </c>
      <c r="I1113" s="231">
        <f t="shared" si="35"/>
        <v>0</v>
      </c>
    </row>
    <row r="1114" spans="1:12" s="7" customFormat="1" hidden="1">
      <c r="A1114" s="1558"/>
      <c r="B1114" s="371"/>
      <c r="C1114" s="851"/>
      <c r="D1114" s="851"/>
      <c r="E1114" s="852"/>
      <c r="F1114" s="232"/>
      <c r="G1114" s="232"/>
      <c r="H1114" s="231">
        <f t="shared" si="34"/>
        <v>0</v>
      </c>
      <c r="I1114" s="231">
        <f t="shared" si="35"/>
        <v>0</v>
      </c>
    </row>
    <row r="1115" spans="1:12" s="7" customFormat="1" hidden="1">
      <c r="A1115" s="1558"/>
      <c r="B1115" s="371"/>
      <c r="C1115" s="844"/>
      <c r="D1115" s="862"/>
      <c r="E1115" s="862"/>
      <c r="F1115" s="232"/>
      <c r="G1115" s="232"/>
      <c r="H1115" s="231">
        <f t="shared" si="34"/>
        <v>0</v>
      </c>
      <c r="I1115" s="231">
        <f t="shared" si="35"/>
        <v>0</v>
      </c>
    </row>
    <row r="1116" spans="1:12" s="7" customFormat="1" hidden="1">
      <c r="A1116" s="1558"/>
      <c r="B1116" s="371"/>
      <c r="C1116" s="850"/>
      <c r="D1116" s="850"/>
      <c r="E1116" s="844"/>
      <c r="F1116" s="232"/>
      <c r="G1116" s="232"/>
      <c r="H1116" s="231">
        <f t="shared" si="34"/>
        <v>0</v>
      </c>
      <c r="I1116" s="231">
        <f t="shared" si="35"/>
        <v>0</v>
      </c>
    </row>
    <row r="1117" spans="1:12" s="7" customFormat="1" hidden="1">
      <c r="A1117" s="1558"/>
      <c r="B1117" s="857"/>
      <c r="C1117" s="858"/>
      <c r="D1117" s="850"/>
      <c r="E1117" s="844"/>
      <c r="F1117" s="232"/>
      <c r="G1117" s="232"/>
      <c r="H1117" s="231">
        <f t="shared" si="34"/>
        <v>0</v>
      </c>
      <c r="I1117" s="231">
        <f t="shared" si="35"/>
        <v>0</v>
      </c>
    </row>
    <row r="1118" spans="1:12" s="7" customFormat="1" hidden="1">
      <c r="A1118" s="1558"/>
      <c r="B1118" s="399"/>
      <c r="C1118" s="663"/>
      <c r="D1118" s="663"/>
      <c r="E1118" s="663"/>
      <c r="F1118" s="232"/>
      <c r="G1118" s="232"/>
      <c r="H1118" s="231">
        <f t="shared" si="34"/>
        <v>0</v>
      </c>
      <c r="I1118" s="231">
        <f t="shared" si="35"/>
        <v>0</v>
      </c>
    </row>
    <row r="1119" spans="1:12" s="7" customFormat="1" hidden="1">
      <c r="A1119" s="1558"/>
      <c r="B1119" s="399"/>
      <c r="C1119" s="663"/>
      <c r="D1119" s="663"/>
      <c r="E1119" s="663"/>
      <c r="F1119" s="232"/>
      <c r="G1119" s="232"/>
      <c r="H1119" s="231">
        <f t="shared" si="34"/>
        <v>0</v>
      </c>
      <c r="I1119" s="231">
        <f t="shared" si="35"/>
        <v>0</v>
      </c>
    </row>
    <row r="1120" spans="1:12" s="7" customFormat="1" hidden="1">
      <c r="A1120" s="1558"/>
      <c r="B1120" s="390"/>
      <c r="C1120" s="651"/>
      <c r="D1120" s="692"/>
      <c r="E1120" s="692"/>
      <c r="F1120" s="232"/>
      <c r="G1120" s="232"/>
      <c r="H1120" s="231">
        <f t="shared" si="34"/>
        <v>0</v>
      </c>
      <c r="I1120" s="231">
        <f t="shared" si="35"/>
        <v>0</v>
      </c>
    </row>
    <row r="1121" spans="1:9" s="7" customFormat="1" hidden="1">
      <c r="A1121" s="1558"/>
      <c r="B1121" s="390"/>
      <c r="C1121" s="651"/>
      <c r="D1121" s="692"/>
      <c r="E1121" s="692"/>
      <c r="F1121" s="232"/>
      <c r="G1121" s="232"/>
      <c r="H1121" s="231">
        <f t="shared" si="34"/>
        <v>0</v>
      </c>
      <c r="I1121" s="231">
        <f t="shared" si="35"/>
        <v>0</v>
      </c>
    </row>
    <row r="1122" spans="1:9" s="7" customFormat="1" hidden="1">
      <c r="A1122" s="1558"/>
      <c r="B1122" s="107"/>
      <c r="C1122" s="654"/>
      <c r="D1122" s="654"/>
      <c r="E1122" s="256"/>
      <c r="F1122" s="232"/>
      <c r="G1122" s="232"/>
      <c r="H1122" s="231">
        <f t="shared" si="34"/>
        <v>0</v>
      </c>
      <c r="I1122" s="231">
        <f t="shared" si="35"/>
        <v>0</v>
      </c>
    </row>
    <row r="1123" spans="1:9" s="7" customFormat="1" hidden="1">
      <c r="A1123" s="1558"/>
      <c r="B1123" s="107"/>
      <c r="C1123" s="654"/>
      <c r="D1123" s="654"/>
      <c r="E1123" s="256"/>
      <c r="F1123" s="232"/>
      <c r="G1123" s="232"/>
      <c r="H1123" s="231">
        <f t="shared" si="34"/>
        <v>0</v>
      </c>
      <c r="I1123" s="231">
        <f t="shared" si="35"/>
        <v>0</v>
      </c>
    </row>
    <row r="1124" spans="1:9" s="7" customFormat="1" hidden="1">
      <c r="A1124" s="1558"/>
      <c r="B1124" s="107"/>
      <c r="C1124" s="654"/>
      <c r="D1124" s="654"/>
      <c r="E1124" s="256"/>
      <c r="F1124" s="232"/>
      <c r="G1124" s="232"/>
      <c r="H1124" s="231">
        <f t="shared" si="34"/>
        <v>0</v>
      </c>
      <c r="I1124" s="231">
        <f t="shared" si="35"/>
        <v>0</v>
      </c>
    </row>
    <row r="1125" spans="1:9" s="7" customFormat="1" hidden="1">
      <c r="A1125" s="1558"/>
      <c r="B1125" s="107"/>
      <c r="C1125" s="654"/>
      <c r="D1125" s="654"/>
      <c r="E1125" s="256"/>
      <c r="F1125" s="232"/>
      <c r="G1125" s="232"/>
      <c r="H1125" s="231">
        <f t="shared" si="34"/>
        <v>0</v>
      </c>
      <c r="I1125" s="231">
        <f t="shared" si="35"/>
        <v>0</v>
      </c>
    </row>
    <row r="1126" spans="1:9" s="7" customFormat="1" hidden="1">
      <c r="A1126" s="1558"/>
      <c r="B1126" s="107"/>
      <c r="C1126" s="654"/>
      <c r="D1126" s="654"/>
      <c r="E1126" s="256"/>
      <c r="F1126" s="232"/>
      <c r="G1126" s="232"/>
      <c r="H1126" s="231">
        <f t="shared" si="34"/>
        <v>0</v>
      </c>
      <c r="I1126" s="231">
        <f t="shared" si="35"/>
        <v>0</v>
      </c>
    </row>
    <row r="1127" spans="1:9" s="7" customFormat="1" hidden="1">
      <c r="A1127" s="1558"/>
      <c r="B1127" s="107"/>
      <c r="C1127" s="654"/>
      <c r="D1127" s="654"/>
      <c r="E1127" s="256"/>
      <c r="F1127" s="232"/>
      <c r="G1127" s="232"/>
      <c r="H1127" s="231">
        <f t="shared" si="34"/>
        <v>0</v>
      </c>
      <c r="I1127" s="231">
        <f t="shared" si="35"/>
        <v>0</v>
      </c>
    </row>
    <row r="1128" spans="1:9" s="7" customFormat="1" hidden="1">
      <c r="A1128" s="1558"/>
      <c r="B1128" s="107"/>
      <c r="C1128" s="654"/>
      <c r="D1128" s="654"/>
      <c r="E1128" s="256"/>
      <c r="F1128" s="232"/>
      <c r="G1128" s="232"/>
      <c r="H1128" s="231">
        <f t="shared" si="34"/>
        <v>0</v>
      </c>
      <c r="I1128" s="231">
        <f t="shared" si="35"/>
        <v>0</v>
      </c>
    </row>
    <row r="1129" spans="1:9" s="7" customFormat="1" hidden="1">
      <c r="A1129" s="1558"/>
      <c r="B1129" s="107"/>
      <c r="C1129" s="654"/>
      <c r="D1129" s="654"/>
      <c r="E1129" s="256"/>
      <c r="F1129" s="232"/>
      <c r="G1129" s="232"/>
      <c r="H1129" s="231">
        <f t="shared" si="34"/>
        <v>0</v>
      </c>
      <c r="I1129" s="231">
        <f t="shared" si="35"/>
        <v>0</v>
      </c>
    </row>
    <row r="1130" spans="1:9" s="7" customFormat="1" hidden="1">
      <c r="A1130" s="1558"/>
      <c r="B1130" s="107"/>
      <c r="C1130" s="654"/>
      <c r="D1130" s="654"/>
      <c r="E1130" s="256"/>
      <c r="F1130" s="232"/>
      <c r="G1130" s="232"/>
      <c r="H1130" s="231">
        <f t="shared" si="34"/>
        <v>0</v>
      </c>
      <c r="I1130" s="231">
        <f t="shared" si="35"/>
        <v>0</v>
      </c>
    </row>
    <row r="1131" spans="1:9" s="7" customFormat="1" hidden="1">
      <c r="A1131" s="1558"/>
      <c r="B1131" s="107"/>
      <c r="C1131" s="654"/>
      <c r="D1131" s="654"/>
      <c r="E1131" s="256"/>
      <c r="F1131" s="232"/>
      <c r="G1131" s="232"/>
      <c r="H1131" s="231">
        <f t="shared" si="34"/>
        <v>0</v>
      </c>
      <c r="I1131" s="231">
        <f t="shared" si="35"/>
        <v>0</v>
      </c>
    </row>
    <row r="1132" spans="1:9" s="7" customFormat="1" hidden="1">
      <c r="A1132" s="1558"/>
      <c r="B1132" s="107"/>
      <c r="C1132" s="654"/>
      <c r="D1132" s="654"/>
      <c r="E1132" s="256"/>
      <c r="F1132" s="232"/>
      <c r="G1132" s="232"/>
      <c r="H1132" s="231">
        <f t="shared" si="34"/>
        <v>0</v>
      </c>
      <c r="I1132" s="231">
        <f t="shared" si="35"/>
        <v>0</v>
      </c>
    </row>
    <row r="1133" spans="1:9" s="7" customFormat="1" hidden="1">
      <c r="A1133" s="1558"/>
      <c r="B1133" s="107"/>
      <c r="C1133" s="654"/>
      <c r="D1133" s="654"/>
      <c r="E1133" s="256"/>
      <c r="F1133" s="232"/>
      <c r="G1133" s="232"/>
      <c r="H1133" s="231">
        <f t="shared" si="34"/>
        <v>0</v>
      </c>
      <c r="I1133" s="231">
        <f t="shared" si="35"/>
        <v>0</v>
      </c>
    </row>
    <row r="1134" spans="1:9" s="7" customFormat="1" hidden="1">
      <c r="A1134" s="1558"/>
      <c r="B1134" s="107"/>
      <c r="C1134" s="654"/>
      <c r="D1134" s="654"/>
      <c r="E1134" s="256"/>
      <c r="F1134" s="232"/>
      <c r="G1134" s="232"/>
      <c r="H1134" s="231">
        <f t="shared" si="34"/>
        <v>0</v>
      </c>
      <c r="I1134" s="231">
        <f t="shared" si="35"/>
        <v>0</v>
      </c>
    </row>
    <row r="1135" spans="1:9" s="7" customFormat="1" hidden="1">
      <c r="A1135" s="1558"/>
      <c r="B1135" s="258"/>
      <c r="C1135" s="256"/>
      <c r="D1135" s="256"/>
      <c r="E1135" s="256"/>
      <c r="F1135" s="232"/>
      <c r="G1135" s="232"/>
      <c r="H1135" s="231">
        <f t="shared" si="34"/>
        <v>0</v>
      </c>
      <c r="I1135" s="231">
        <f t="shared" si="35"/>
        <v>0</v>
      </c>
    </row>
    <row r="1136" spans="1:9" s="7" customFormat="1" hidden="1">
      <c r="A1136" s="1558"/>
      <c r="B1136" s="258"/>
      <c r="C1136" s="256"/>
      <c r="D1136" s="256"/>
      <c r="E1136" s="256"/>
      <c r="F1136" s="232"/>
      <c r="G1136" s="232"/>
      <c r="H1136" s="231">
        <f t="shared" si="34"/>
        <v>0</v>
      </c>
      <c r="I1136" s="231">
        <f t="shared" si="35"/>
        <v>0</v>
      </c>
    </row>
    <row r="1137" spans="1:9" s="7" customFormat="1" hidden="1">
      <c r="A1137" s="1558"/>
      <c r="B1137" s="228"/>
      <c r="C1137" s="256"/>
      <c r="D1137" s="256"/>
      <c r="E1137" s="256"/>
      <c r="F1137" s="232"/>
      <c r="G1137" s="232"/>
      <c r="H1137" s="231">
        <f t="shared" si="34"/>
        <v>0</v>
      </c>
      <c r="I1137" s="231">
        <f t="shared" si="35"/>
        <v>0</v>
      </c>
    </row>
    <row r="1138" spans="1:9" s="7" customFormat="1" hidden="1">
      <c r="A1138" s="1558"/>
      <c r="B1138" s="258"/>
      <c r="C1138" s="256"/>
      <c r="D1138" s="256"/>
      <c r="E1138" s="256"/>
      <c r="F1138" s="232"/>
      <c r="G1138" s="232"/>
      <c r="H1138" s="231">
        <f t="shared" si="34"/>
        <v>0</v>
      </c>
      <c r="I1138" s="231">
        <f t="shared" si="35"/>
        <v>0</v>
      </c>
    </row>
    <row r="1139" spans="1:9" s="7" customFormat="1" hidden="1">
      <c r="A1139" s="1558"/>
      <c r="B1139" s="258"/>
      <c r="C1139" s="256"/>
      <c r="D1139" s="256"/>
      <c r="E1139" s="256"/>
      <c r="F1139" s="232"/>
      <c r="G1139" s="232"/>
      <c r="H1139" s="231">
        <f t="shared" si="34"/>
        <v>0</v>
      </c>
      <c r="I1139" s="231">
        <f t="shared" si="35"/>
        <v>0</v>
      </c>
    </row>
    <row r="1140" spans="1:9" s="7" customFormat="1" hidden="1">
      <c r="A1140" s="1558"/>
      <c r="B1140" s="258"/>
      <c r="C1140" s="256"/>
      <c r="D1140" s="256"/>
      <c r="E1140" s="256"/>
      <c r="F1140" s="232"/>
      <c r="G1140" s="232"/>
      <c r="H1140" s="231">
        <f t="shared" si="34"/>
        <v>0</v>
      </c>
      <c r="I1140" s="231">
        <f t="shared" si="35"/>
        <v>0</v>
      </c>
    </row>
    <row r="1141" spans="1:9" s="7" customFormat="1" hidden="1">
      <c r="A1141" s="1558"/>
      <c r="B1141" s="258"/>
      <c r="C1141" s="256"/>
      <c r="D1141" s="256"/>
      <c r="E1141" s="256"/>
      <c r="F1141" s="232"/>
      <c r="G1141" s="232"/>
      <c r="H1141" s="231">
        <f t="shared" si="34"/>
        <v>0</v>
      </c>
      <c r="I1141" s="231">
        <f t="shared" si="35"/>
        <v>0</v>
      </c>
    </row>
    <row r="1142" spans="1:9" s="7" customFormat="1" hidden="1">
      <c r="A1142" s="1558"/>
      <c r="B1142" s="258"/>
      <c r="C1142" s="256"/>
      <c r="D1142" s="256"/>
      <c r="E1142" s="256"/>
      <c r="F1142" s="232"/>
      <c r="G1142" s="232"/>
      <c r="H1142" s="231">
        <f t="shared" si="34"/>
        <v>0</v>
      </c>
      <c r="I1142" s="231">
        <f t="shared" si="35"/>
        <v>0</v>
      </c>
    </row>
    <row r="1143" spans="1:9" s="7" customFormat="1" hidden="1">
      <c r="A1143" s="1558"/>
      <c r="B1143" s="228"/>
      <c r="C1143" s="256"/>
      <c r="D1143" s="256"/>
      <c r="E1143" s="256"/>
      <c r="F1143" s="232"/>
      <c r="G1143" s="232"/>
      <c r="H1143" s="231">
        <f t="shared" si="34"/>
        <v>0</v>
      </c>
      <c r="I1143" s="231">
        <f t="shared" si="35"/>
        <v>0</v>
      </c>
    </row>
    <row r="1144" spans="1:9" s="7" customFormat="1" hidden="1">
      <c r="A1144" s="1558"/>
      <c r="B1144" s="228"/>
      <c r="C1144" s="256"/>
      <c r="D1144" s="256"/>
      <c r="E1144" s="256"/>
      <c r="F1144" s="232"/>
      <c r="G1144" s="232"/>
      <c r="H1144" s="231">
        <f t="shared" si="34"/>
        <v>0</v>
      </c>
      <c r="I1144" s="231">
        <f t="shared" si="35"/>
        <v>0</v>
      </c>
    </row>
    <row r="1145" spans="1:9" s="7" customFormat="1" hidden="1">
      <c r="A1145" s="1558"/>
      <c r="B1145" s="258"/>
      <c r="C1145" s="256"/>
      <c r="D1145" s="256"/>
      <c r="E1145" s="256"/>
      <c r="F1145" s="232"/>
      <c r="G1145" s="232"/>
      <c r="H1145" s="231">
        <f t="shared" si="34"/>
        <v>0</v>
      </c>
      <c r="I1145" s="231">
        <f t="shared" si="35"/>
        <v>0</v>
      </c>
    </row>
    <row r="1146" spans="1:9" s="7" customFormat="1" hidden="1">
      <c r="A1146" s="1558"/>
      <c r="B1146" s="107"/>
      <c r="C1146" s="654"/>
      <c r="D1146" s="654"/>
      <c r="E1146" s="256"/>
      <c r="F1146" s="232"/>
      <c r="G1146" s="232"/>
      <c r="H1146" s="231">
        <f t="shared" si="34"/>
        <v>0</v>
      </c>
      <c r="I1146" s="231">
        <f t="shared" si="35"/>
        <v>0</v>
      </c>
    </row>
    <row r="1147" spans="1:9" s="7" customFormat="1" hidden="1">
      <c r="A1147" s="1558"/>
      <c r="B1147" s="107"/>
      <c r="C1147" s="654"/>
      <c r="D1147" s="654"/>
      <c r="E1147" s="256"/>
      <c r="F1147" s="232"/>
      <c r="G1147" s="232"/>
      <c r="H1147" s="231">
        <f t="shared" si="34"/>
        <v>0</v>
      </c>
      <c r="I1147" s="231">
        <f t="shared" si="35"/>
        <v>0</v>
      </c>
    </row>
    <row r="1148" spans="1:9" s="7" customFormat="1" hidden="1">
      <c r="A1148" s="1558"/>
      <c r="B1148" s="107"/>
      <c r="C1148" s="654"/>
      <c r="D1148" s="654"/>
      <c r="E1148" s="256"/>
      <c r="F1148" s="232"/>
      <c r="G1148" s="232"/>
      <c r="H1148" s="231">
        <f t="shared" si="34"/>
        <v>0</v>
      </c>
      <c r="I1148" s="231">
        <f t="shared" si="35"/>
        <v>0</v>
      </c>
    </row>
    <row r="1149" spans="1:9" s="7" customFormat="1" hidden="1">
      <c r="A1149" s="1558"/>
      <c r="B1149" s="107"/>
      <c r="C1149" s="654"/>
      <c r="D1149" s="654"/>
      <c r="E1149" s="256"/>
      <c r="F1149" s="232"/>
      <c r="G1149" s="232"/>
      <c r="H1149" s="231">
        <f t="shared" si="34"/>
        <v>0</v>
      </c>
      <c r="I1149" s="231">
        <f t="shared" si="35"/>
        <v>0</v>
      </c>
    </row>
    <row r="1150" spans="1:9" s="7" customFormat="1" ht="18" hidden="1" customHeight="1">
      <c r="A1150" s="1554"/>
      <c r="B1150" s="274"/>
      <c r="C1150" s="275"/>
      <c r="D1150" s="275"/>
      <c r="E1150" s="275"/>
      <c r="F1150" s="232"/>
      <c r="G1150" s="232"/>
      <c r="H1150" s="231">
        <f t="shared" si="34"/>
        <v>0</v>
      </c>
      <c r="I1150" s="231">
        <f t="shared" si="35"/>
        <v>0</v>
      </c>
    </row>
    <row r="1151" spans="1:9" s="7" customFormat="1" ht="18" hidden="1" customHeight="1">
      <c r="A1151" s="1554"/>
      <c r="B1151" s="258"/>
      <c r="C1151" s="256"/>
      <c r="D1151" s="256"/>
      <c r="E1151" s="256"/>
      <c r="F1151" s="232"/>
      <c r="G1151" s="232"/>
      <c r="H1151" s="231">
        <f t="shared" si="34"/>
        <v>0</v>
      </c>
      <c r="I1151" s="231">
        <f t="shared" si="35"/>
        <v>0</v>
      </c>
    </row>
    <row r="1152" spans="1:9" s="7" customFormat="1" ht="18" hidden="1" customHeight="1">
      <c r="A1152" s="1554"/>
      <c r="B1152" s="258"/>
      <c r="C1152" s="256"/>
      <c r="D1152" s="256"/>
      <c r="E1152" s="256"/>
      <c r="F1152" s="232"/>
      <c r="G1152" s="232"/>
      <c r="H1152" s="231">
        <f t="shared" si="34"/>
        <v>0</v>
      </c>
      <c r="I1152" s="231">
        <f t="shared" si="35"/>
        <v>0</v>
      </c>
    </row>
    <row r="1153" spans="1:12" s="7" customFormat="1" ht="18" hidden="1" customHeight="1">
      <c r="A1153" s="1554"/>
      <c r="B1153" s="258"/>
      <c r="C1153" s="256"/>
      <c r="D1153" s="256"/>
      <c r="E1153" s="256"/>
      <c r="F1153" s="232"/>
      <c r="G1153" s="232"/>
      <c r="H1153" s="231">
        <f t="shared" si="34"/>
        <v>0</v>
      </c>
      <c r="I1153" s="231">
        <f t="shared" si="35"/>
        <v>0</v>
      </c>
    </row>
    <row r="1154" spans="1:12" s="7" customFormat="1" ht="18" hidden="1" customHeight="1">
      <c r="A1154" s="1554"/>
      <c r="B1154" s="258"/>
      <c r="C1154" s="256"/>
      <c r="D1154" s="256"/>
      <c r="E1154" s="256"/>
      <c r="F1154" s="232"/>
      <c r="G1154" s="232"/>
      <c r="H1154" s="231">
        <f t="shared" si="34"/>
        <v>0</v>
      </c>
      <c r="I1154" s="231">
        <f t="shared" si="35"/>
        <v>0</v>
      </c>
    </row>
    <row r="1155" spans="1:12" s="7" customFormat="1" ht="18" hidden="1" customHeight="1">
      <c r="A1155" s="1554"/>
      <c r="B1155" s="258"/>
      <c r="C1155" s="256"/>
      <c r="D1155" s="256"/>
      <c r="E1155" s="256"/>
      <c r="F1155" s="232"/>
      <c r="G1155" s="232"/>
      <c r="H1155" s="231">
        <f t="shared" si="34"/>
        <v>0</v>
      </c>
      <c r="I1155" s="231">
        <f t="shared" si="35"/>
        <v>0</v>
      </c>
    </row>
    <row r="1156" spans="1:12" s="7" customFormat="1" ht="18" hidden="1" customHeight="1">
      <c r="A1156" s="1554"/>
      <c r="B1156" s="258"/>
      <c r="C1156" s="256"/>
      <c r="D1156" s="256"/>
      <c r="E1156" s="256"/>
      <c r="F1156" s="232"/>
      <c r="G1156" s="232"/>
      <c r="H1156" s="231">
        <f t="shared" si="34"/>
        <v>0</v>
      </c>
      <c r="I1156" s="231">
        <f t="shared" si="35"/>
        <v>0</v>
      </c>
    </row>
    <row r="1157" spans="1:12" s="7" customFormat="1" ht="18" hidden="1" customHeight="1">
      <c r="A1157" s="1554"/>
      <c r="B1157" s="258"/>
      <c r="C1157" s="256"/>
      <c r="D1157" s="256"/>
      <c r="E1157" s="256"/>
      <c r="F1157" s="232"/>
      <c r="G1157" s="232"/>
      <c r="H1157" s="231">
        <f t="shared" si="34"/>
        <v>0</v>
      </c>
      <c r="I1157" s="231">
        <f t="shared" si="35"/>
        <v>0</v>
      </c>
    </row>
    <row r="1158" spans="1:12" s="7" customFormat="1" ht="18" hidden="1" customHeight="1">
      <c r="A1158" s="1554"/>
      <c r="B1158" s="258"/>
      <c r="C1158" s="256"/>
      <c r="D1158" s="256"/>
      <c r="E1158" s="256"/>
      <c r="F1158" s="232"/>
      <c r="G1158" s="232"/>
      <c r="H1158" s="231">
        <f t="shared" si="34"/>
        <v>0</v>
      </c>
      <c r="I1158" s="231">
        <f t="shared" si="35"/>
        <v>0</v>
      </c>
    </row>
    <row r="1159" spans="1:12" s="7" customFormat="1" ht="18" hidden="1" customHeight="1">
      <c r="A1159" s="1554"/>
      <c r="B1159" s="258"/>
      <c r="C1159" s="256"/>
      <c r="D1159" s="256"/>
      <c r="E1159" s="256"/>
      <c r="F1159" s="232"/>
      <c r="G1159" s="232"/>
      <c r="H1159" s="231">
        <f t="shared" si="34"/>
        <v>0</v>
      </c>
      <c r="I1159" s="231">
        <f t="shared" si="35"/>
        <v>0</v>
      </c>
    </row>
    <row r="1160" spans="1:12" s="7" customFormat="1" ht="18" hidden="1" customHeight="1">
      <c r="A1160" s="1554"/>
      <c r="B1160" s="258"/>
      <c r="C1160" s="256"/>
      <c r="D1160" s="256"/>
      <c r="E1160" s="256"/>
      <c r="F1160" s="232"/>
      <c r="G1160" s="232"/>
      <c r="H1160" s="231">
        <f t="shared" si="34"/>
        <v>0</v>
      </c>
      <c r="I1160" s="231">
        <f t="shared" si="35"/>
        <v>0</v>
      </c>
    </row>
    <row r="1161" spans="1:12" s="7" customFormat="1" ht="18" hidden="1" customHeight="1">
      <c r="A1161" s="1554"/>
      <c r="B1161" s="258"/>
      <c r="C1161" s="256"/>
      <c r="D1161" s="256"/>
      <c r="E1161" s="256"/>
      <c r="F1161" s="232"/>
      <c r="G1161" s="232"/>
      <c r="H1161" s="231">
        <f t="shared" ref="H1161:H1224" si="36">E1161+D1161-C1161</f>
        <v>0</v>
      </c>
      <c r="I1161" s="231">
        <f t="shared" ref="I1161:I1224" si="37">SUM(C1161:E1161)</f>
        <v>0</v>
      </c>
    </row>
    <row r="1162" spans="1:12" s="7" customFormat="1" ht="18" hidden="1" customHeight="1">
      <c r="A1162" s="1554"/>
      <c r="B1162" s="107"/>
      <c r="C1162" s="654"/>
      <c r="D1162" s="654"/>
      <c r="E1162" s="256"/>
      <c r="F1162" s="232"/>
      <c r="G1162" s="232"/>
      <c r="H1162" s="231">
        <f t="shared" si="36"/>
        <v>0</v>
      </c>
      <c r="I1162" s="231">
        <f t="shared" si="37"/>
        <v>0</v>
      </c>
    </row>
    <row r="1163" spans="1:12" s="7" customFormat="1" ht="18" hidden="1" customHeight="1">
      <c r="A1163" s="1554"/>
      <c r="B1163" s="107"/>
      <c r="C1163" s="654"/>
      <c r="D1163" s="654"/>
      <c r="E1163" s="256"/>
      <c r="F1163" s="232"/>
      <c r="G1163" s="232"/>
      <c r="H1163" s="231">
        <f t="shared" si="36"/>
        <v>0</v>
      </c>
      <c r="I1163" s="231">
        <f t="shared" si="37"/>
        <v>0</v>
      </c>
    </row>
    <row r="1164" spans="1:12" s="7" customFormat="1" ht="18" hidden="1" customHeight="1">
      <c r="A1164" s="1554"/>
      <c r="B1164" s="107"/>
      <c r="C1164" s="654"/>
      <c r="D1164" s="654"/>
      <c r="E1164" s="256"/>
      <c r="F1164" s="232"/>
      <c r="G1164" s="232"/>
      <c r="H1164" s="231">
        <f t="shared" si="36"/>
        <v>0</v>
      </c>
      <c r="I1164" s="231">
        <f t="shared" si="37"/>
        <v>0</v>
      </c>
    </row>
    <row r="1165" spans="1:12" s="7" customFormat="1" ht="18" hidden="1" customHeight="1">
      <c r="A1165" s="1554"/>
      <c r="B1165" s="268"/>
      <c r="C1165" s="656"/>
      <c r="D1165" s="656"/>
      <c r="E1165" s="657"/>
      <c r="F1165" s="232"/>
      <c r="G1165" s="232"/>
      <c r="H1165" s="231">
        <f t="shared" si="36"/>
        <v>0</v>
      </c>
      <c r="I1165" s="231">
        <f t="shared" si="37"/>
        <v>0</v>
      </c>
    </row>
    <row r="1166" spans="1:12">
      <c r="A1166" s="1566"/>
      <c r="B1166" s="209" t="s">
        <v>985</v>
      </c>
      <c r="C1166" s="581">
        <f>SUM(C1100:C1165)</f>
        <v>827482</v>
      </c>
      <c r="D1166" s="581">
        <f>SUM(D1100:D1165)</f>
        <v>707382</v>
      </c>
      <c r="E1166" s="581">
        <f>SUM(E1100:E1165)</f>
        <v>120100</v>
      </c>
      <c r="F1166" s="263">
        <f>SUM(F1100:F1101)</f>
        <v>0</v>
      </c>
      <c r="G1166" s="236">
        <f>SUM(G1100:G1101)</f>
        <v>0</v>
      </c>
      <c r="H1166" s="1497">
        <f t="shared" si="36"/>
        <v>0</v>
      </c>
      <c r="I1166" s="1497">
        <f t="shared" si="37"/>
        <v>1654964</v>
      </c>
      <c r="J1166" s="1440"/>
      <c r="K1166" s="1490"/>
      <c r="L1166" s="1490"/>
    </row>
    <row r="1167" spans="1:12" ht="75">
      <c r="A1167" s="1566" t="s">
        <v>1153</v>
      </c>
      <c r="B1167" s="181" t="s">
        <v>772</v>
      </c>
      <c r="C1167" s="644">
        <v>989800</v>
      </c>
      <c r="D1167" s="589">
        <v>989800</v>
      </c>
      <c r="E1167" s="644"/>
      <c r="F1167" s="230"/>
      <c r="G1167" s="230"/>
      <c r="H1167" s="1497">
        <f t="shared" si="36"/>
        <v>0</v>
      </c>
      <c r="I1167" s="1497">
        <f t="shared" si="37"/>
        <v>1979600</v>
      </c>
      <c r="J1167" s="1440"/>
      <c r="K1167" s="1490"/>
      <c r="L1167" s="1490"/>
    </row>
    <row r="1168" spans="1:12" ht="37.5">
      <c r="A1168" s="1566"/>
      <c r="B1168" s="369" t="s">
        <v>1273</v>
      </c>
      <c r="C1168" s="589">
        <v>137456</v>
      </c>
      <c r="D1168" s="589">
        <v>137456</v>
      </c>
      <c r="E1168" s="785"/>
      <c r="F1168" s="237"/>
      <c r="G1168" s="237"/>
      <c r="H1168" s="1497">
        <f t="shared" si="36"/>
        <v>0</v>
      </c>
      <c r="I1168" s="1497">
        <f t="shared" si="37"/>
        <v>274912</v>
      </c>
      <c r="J1168" s="1440"/>
      <c r="K1168" s="1490"/>
      <c r="L1168" s="1490"/>
    </row>
    <row r="1169" spans="1:12" ht="93.75">
      <c r="A1169" s="1566"/>
      <c r="B1169" s="1231" t="s">
        <v>1602</v>
      </c>
      <c r="C1169" s="817">
        <v>30000</v>
      </c>
      <c r="D1169" s="817">
        <v>30000</v>
      </c>
      <c r="E1169" s="184"/>
      <c r="F1169" s="237"/>
      <c r="G1169" s="237"/>
      <c r="H1169" s="1497">
        <f t="shared" si="36"/>
        <v>0</v>
      </c>
      <c r="I1169" s="1497">
        <f t="shared" si="37"/>
        <v>60000</v>
      </c>
      <c r="J1169" s="1440"/>
      <c r="K1169" s="1490"/>
      <c r="L1169" s="1490"/>
    </row>
    <row r="1170" spans="1:12" ht="37.5">
      <c r="A1170" s="1566"/>
      <c r="B1170" s="1231" t="s">
        <v>1603</v>
      </c>
      <c r="C1170" s="817">
        <v>25000</v>
      </c>
      <c r="D1170" s="817"/>
      <c r="E1170" s="184">
        <v>25000</v>
      </c>
      <c r="F1170" s="232"/>
      <c r="G1170" s="232"/>
      <c r="H1170" s="1497">
        <f t="shared" si="36"/>
        <v>0</v>
      </c>
      <c r="I1170" s="1497">
        <f t="shared" si="37"/>
        <v>50000</v>
      </c>
      <c r="J1170" s="1440"/>
      <c r="K1170" s="1490"/>
      <c r="L1170" s="1490"/>
    </row>
    <row r="1171" spans="1:12" ht="56.25">
      <c r="A1171" s="1566"/>
      <c r="B1171" s="1231" t="s">
        <v>1604</v>
      </c>
      <c r="C1171" s="817">
        <v>20000</v>
      </c>
      <c r="D1171" s="817">
        <v>20000</v>
      </c>
      <c r="E1171" s="184"/>
      <c r="F1171" s="232"/>
      <c r="G1171" s="232"/>
      <c r="H1171" s="1497">
        <f t="shared" si="36"/>
        <v>0</v>
      </c>
      <c r="I1171" s="1497">
        <f t="shared" si="37"/>
        <v>40000</v>
      </c>
      <c r="J1171" s="1440"/>
      <c r="K1171" s="1490"/>
      <c r="L1171" s="1490"/>
    </row>
    <row r="1172" spans="1:12" hidden="1">
      <c r="A1172" s="1566"/>
      <c r="B1172" s="107"/>
      <c r="C1172" s="589"/>
      <c r="D1172" s="589"/>
      <c r="E1172" s="510"/>
      <c r="F1172" s="232"/>
      <c r="G1172" s="232"/>
      <c r="H1172" s="231">
        <f t="shared" si="36"/>
        <v>0</v>
      </c>
      <c r="I1172" s="231">
        <f t="shared" si="37"/>
        <v>0</v>
      </c>
    </row>
    <row r="1173" spans="1:12" hidden="1">
      <c r="A1173" s="1566"/>
      <c r="B1173" s="107"/>
      <c r="C1173" s="589"/>
      <c r="D1173" s="589"/>
      <c r="E1173" s="510"/>
      <c r="F1173" s="232"/>
      <c r="G1173" s="232"/>
      <c r="H1173" s="231">
        <f t="shared" si="36"/>
        <v>0</v>
      </c>
      <c r="I1173" s="231">
        <f t="shared" si="37"/>
        <v>0</v>
      </c>
    </row>
    <row r="1174" spans="1:12" hidden="1">
      <c r="A1174" s="1566"/>
      <c r="B1174" s="107"/>
      <c r="C1174" s="589"/>
      <c r="D1174" s="589"/>
      <c r="E1174" s="510"/>
      <c r="F1174" s="232"/>
      <c r="G1174" s="232"/>
      <c r="H1174" s="231">
        <f t="shared" si="36"/>
        <v>0</v>
      </c>
      <c r="I1174" s="231">
        <f t="shared" si="37"/>
        <v>0</v>
      </c>
    </row>
    <row r="1175" spans="1:12" hidden="1">
      <c r="A1175" s="1566"/>
      <c r="B1175" s="107"/>
      <c r="C1175" s="589"/>
      <c r="D1175" s="589"/>
      <c r="E1175" s="510"/>
      <c r="F1175" s="232"/>
      <c r="G1175" s="232"/>
      <c r="H1175" s="231">
        <f t="shared" si="36"/>
        <v>0</v>
      </c>
      <c r="I1175" s="231">
        <f t="shared" si="37"/>
        <v>0</v>
      </c>
    </row>
    <row r="1176" spans="1:12" hidden="1">
      <c r="A1176" s="1566"/>
      <c r="B1176" s="107"/>
      <c r="C1176" s="589"/>
      <c r="D1176" s="589"/>
      <c r="E1176" s="510"/>
      <c r="F1176" s="232"/>
      <c r="G1176" s="232"/>
      <c r="H1176" s="231">
        <f t="shared" si="36"/>
        <v>0</v>
      </c>
      <c r="I1176" s="231">
        <f t="shared" si="37"/>
        <v>0</v>
      </c>
    </row>
    <row r="1177" spans="1:12" hidden="1">
      <c r="A1177" s="1566"/>
      <c r="B1177" s="107"/>
      <c r="C1177" s="589"/>
      <c r="D1177" s="589"/>
      <c r="E1177" s="510"/>
      <c r="F1177" s="232"/>
      <c r="G1177" s="232"/>
      <c r="H1177" s="231">
        <f t="shared" si="36"/>
        <v>0</v>
      </c>
      <c r="I1177" s="231">
        <f t="shared" si="37"/>
        <v>0</v>
      </c>
    </row>
    <row r="1178" spans="1:12" hidden="1">
      <c r="A1178" s="1566"/>
      <c r="B1178" s="107"/>
      <c r="C1178" s="589"/>
      <c r="D1178" s="589"/>
      <c r="E1178" s="510"/>
      <c r="F1178" s="232"/>
      <c r="G1178" s="232"/>
      <c r="H1178" s="231">
        <f t="shared" si="36"/>
        <v>0</v>
      </c>
      <c r="I1178" s="231">
        <f t="shared" si="37"/>
        <v>0</v>
      </c>
    </row>
    <row r="1179" spans="1:12" hidden="1">
      <c r="A1179" s="1566"/>
      <c r="B1179" s="635"/>
      <c r="C1179" s="633"/>
      <c r="D1179" s="633"/>
      <c r="E1179" s="633"/>
      <c r="F1179" s="232"/>
      <c r="G1179" s="232"/>
      <c r="H1179" s="231">
        <f t="shared" si="36"/>
        <v>0</v>
      </c>
      <c r="I1179" s="231">
        <f t="shared" si="37"/>
        <v>0</v>
      </c>
    </row>
    <row r="1180" spans="1:12" hidden="1">
      <c r="A1180" s="1566"/>
      <c r="B1180" s="425"/>
      <c r="C1180" s="701"/>
      <c r="D1180" s="701"/>
      <c r="E1180" s="580"/>
      <c r="F1180" s="232"/>
      <c r="G1180" s="232"/>
      <c r="H1180" s="231">
        <f t="shared" si="36"/>
        <v>0</v>
      </c>
      <c r="I1180" s="231">
        <f t="shared" si="37"/>
        <v>0</v>
      </c>
    </row>
    <row r="1181" spans="1:12" hidden="1">
      <c r="A1181" s="1566"/>
      <c r="B1181" s="770"/>
      <c r="C1181" s="771"/>
      <c r="D1181" s="771"/>
      <c r="E1181" s="772"/>
      <c r="F1181" s="232"/>
      <c r="G1181" s="232"/>
      <c r="H1181" s="231">
        <f t="shared" si="36"/>
        <v>0</v>
      </c>
      <c r="I1181" s="231">
        <f t="shared" si="37"/>
        <v>0</v>
      </c>
    </row>
    <row r="1182" spans="1:12" hidden="1">
      <c r="A1182" s="1566"/>
      <c r="B1182" s="371"/>
      <c r="C1182" s="850"/>
      <c r="D1182" s="850"/>
      <c r="E1182" s="844"/>
      <c r="F1182" s="232"/>
      <c r="G1182" s="232"/>
      <c r="H1182" s="231">
        <f t="shared" si="36"/>
        <v>0</v>
      </c>
      <c r="I1182" s="231">
        <f t="shared" si="37"/>
        <v>0</v>
      </c>
    </row>
    <row r="1183" spans="1:12" hidden="1">
      <c r="A1183" s="1566"/>
      <c r="B1183" s="371"/>
      <c r="C1183" s="850"/>
      <c r="D1183" s="850"/>
      <c r="E1183" s="844"/>
      <c r="F1183" s="232"/>
      <c r="G1183" s="232"/>
      <c r="H1183" s="231">
        <f t="shared" si="36"/>
        <v>0</v>
      </c>
      <c r="I1183" s="231">
        <f t="shared" si="37"/>
        <v>0</v>
      </c>
    </row>
    <row r="1184" spans="1:12" hidden="1">
      <c r="A1184" s="1566"/>
      <c r="B1184" s="371"/>
      <c r="C1184" s="865"/>
      <c r="D1184" s="865"/>
      <c r="E1184" s="866"/>
      <c r="F1184" s="232"/>
      <c r="G1184" s="232"/>
      <c r="H1184" s="231">
        <f t="shared" si="36"/>
        <v>0</v>
      </c>
      <c r="I1184" s="231">
        <f t="shared" si="37"/>
        <v>0</v>
      </c>
    </row>
    <row r="1185" spans="1:9" hidden="1">
      <c r="A1185" s="1566"/>
      <c r="B1185" s="371"/>
      <c r="C1185" s="846"/>
      <c r="D1185" s="846"/>
      <c r="E1185" s="849"/>
      <c r="F1185" s="232"/>
      <c r="G1185" s="232"/>
      <c r="H1185" s="231">
        <f t="shared" si="36"/>
        <v>0</v>
      </c>
      <c r="I1185" s="231">
        <f t="shared" si="37"/>
        <v>0</v>
      </c>
    </row>
    <row r="1186" spans="1:9" hidden="1">
      <c r="A1186" s="1566"/>
      <c r="B1186" s="371"/>
      <c r="C1186" s="846"/>
      <c r="D1186" s="846"/>
      <c r="E1186" s="849"/>
      <c r="F1186" s="232"/>
      <c r="G1186" s="232"/>
      <c r="H1186" s="231">
        <f t="shared" si="36"/>
        <v>0</v>
      </c>
      <c r="I1186" s="231">
        <f t="shared" si="37"/>
        <v>0</v>
      </c>
    </row>
    <row r="1187" spans="1:9" hidden="1">
      <c r="A1187" s="1566"/>
      <c r="B1187" s="343"/>
      <c r="C1187" s="702"/>
      <c r="D1187" s="702"/>
      <c r="E1187" s="702"/>
      <c r="F1187" s="232"/>
      <c r="G1187" s="232"/>
      <c r="H1187" s="231">
        <f t="shared" si="36"/>
        <v>0</v>
      </c>
      <c r="I1187" s="231">
        <f t="shared" si="37"/>
        <v>0</v>
      </c>
    </row>
    <row r="1188" spans="1:9" hidden="1">
      <c r="A1188" s="1566"/>
      <c r="B1188" s="343"/>
      <c r="C1188" s="702"/>
      <c r="D1188" s="702"/>
      <c r="E1188" s="702"/>
      <c r="F1188" s="232"/>
      <c r="G1188" s="232"/>
      <c r="H1188" s="231">
        <f t="shared" si="36"/>
        <v>0</v>
      </c>
      <c r="I1188" s="231">
        <f t="shared" si="37"/>
        <v>0</v>
      </c>
    </row>
    <row r="1189" spans="1:9" hidden="1">
      <c r="A1189" s="1566"/>
      <c r="B1189" s="343"/>
      <c r="C1189" s="666"/>
      <c r="D1189" s="666"/>
      <c r="E1189" s="667"/>
      <c r="F1189" s="232"/>
      <c r="G1189" s="232"/>
      <c r="H1189" s="231">
        <f t="shared" si="36"/>
        <v>0</v>
      </c>
      <c r="I1189" s="231">
        <f t="shared" si="37"/>
        <v>0</v>
      </c>
    </row>
    <row r="1190" spans="1:9" hidden="1">
      <c r="A1190" s="1566"/>
      <c r="B1190" s="343"/>
      <c r="C1190" s="666"/>
      <c r="D1190" s="666"/>
      <c r="E1190" s="667"/>
      <c r="F1190" s="232"/>
      <c r="G1190" s="232"/>
      <c r="H1190" s="231">
        <f t="shared" si="36"/>
        <v>0</v>
      </c>
      <c r="I1190" s="231">
        <f t="shared" si="37"/>
        <v>0</v>
      </c>
    </row>
    <row r="1191" spans="1:9" hidden="1">
      <c r="A1191" s="1566"/>
      <c r="B1191" s="343"/>
      <c r="C1191" s="666"/>
      <c r="D1191" s="666"/>
      <c r="E1191" s="667"/>
      <c r="F1191" s="232"/>
      <c r="G1191" s="232"/>
      <c r="H1191" s="231">
        <f t="shared" si="36"/>
        <v>0</v>
      </c>
      <c r="I1191" s="231">
        <f t="shared" si="37"/>
        <v>0</v>
      </c>
    </row>
    <row r="1192" spans="1:9" hidden="1">
      <c r="A1192" s="1566"/>
      <c r="B1192" s="119"/>
      <c r="C1192" s="669"/>
      <c r="D1192" s="669"/>
      <c r="E1192" s="669"/>
      <c r="F1192" s="232"/>
      <c r="G1192" s="232"/>
      <c r="H1192" s="231">
        <f t="shared" si="36"/>
        <v>0</v>
      </c>
      <c r="I1192" s="231">
        <f t="shared" si="37"/>
        <v>0</v>
      </c>
    </row>
    <row r="1193" spans="1:9" hidden="1">
      <c r="A1193" s="1566"/>
      <c r="B1193" s="352"/>
      <c r="C1193" s="670"/>
      <c r="D1193" s="670"/>
      <c r="E1193" s="671"/>
      <c r="F1193" s="232"/>
      <c r="G1193" s="232"/>
      <c r="H1193" s="231">
        <f t="shared" si="36"/>
        <v>0</v>
      </c>
      <c r="I1193" s="231">
        <f t="shared" si="37"/>
        <v>0</v>
      </c>
    </row>
    <row r="1194" spans="1:9" hidden="1">
      <c r="A1194" s="1566"/>
      <c r="B1194" s="352"/>
      <c r="C1194" s="670"/>
      <c r="D1194" s="670"/>
      <c r="E1194" s="671"/>
      <c r="F1194" s="232"/>
      <c r="G1194" s="232"/>
      <c r="H1194" s="231">
        <f t="shared" si="36"/>
        <v>0</v>
      </c>
      <c r="I1194" s="231">
        <f t="shared" si="37"/>
        <v>0</v>
      </c>
    </row>
    <row r="1195" spans="1:9" hidden="1">
      <c r="A1195" s="1566"/>
      <c r="B1195" s="352"/>
      <c r="C1195" s="670"/>
      <c r="D1195" s="670"/>
      <c r="E1195" s="671"/>
      <c r="F1195" s="232"/>
      <c r="G1195" s="232"/>
      <c r="H1195" s="231">
        <f t="shared" si="36"/>
        <v>0</v>
      </c>
      <c r="I1195" s="231">
        <f t="shared" si="37"/>
        <v>0</v>
      </c>
    </row>
    <row r="1196" spans="1:9" hidden="1">
      <c r="A1196" s="1566"/>
      <c r="B1196" s="352"/>
      <c r="C1196" s="670"/>
      <c r="D1196" s="670"/>
      <c r="E1196" s="671"/>
      <c r="F1196" s="232"/>
      <c r="G1196" s="232"/>
      <c r="H1196" s="231">
        <f t="shared" si="36"/>
        <v>0</v>
      </c>
      <c r="I1196" s="231">
        <f t="shared" si="37"/>
        <v>0</v>
      </c>
    </row>
    <row r="1197" spans="1:9" hidden="1">
      <c r="A1197" s="1566"/>
      <c r="B1197" s="358"/>
      <c r="C1197" s="703"/>
      <c r="D1197" s="703"/>
      <c r="E1197" s="704"/>
      <c r="F1197" s="232"/>
      <c r="G1197" s="232"/>
      <c r="H1197" s="231">
        <f t="shared" si="36"/>
        <v>0</v>
      </c>
      <c r="I1197" s="231">
        <f t="shared" si="37"/>
        <v>0</v>
      </c>
    </row>
    <row r="1198" spans="1:9" hidden="1">
      <c r="A1198" s="1566"/>
      <c r="B1198" s="352"/>
      <c r="C1198" s="670"/>
      <c r="D1198" s="670"/>
      <c r="E1198" s="671"/>
      <c r="F1198" s="232"/>
      <c r="G1198" s="232"/>
      <c r="H1198" s="231">
        <f t="shared" si="36"/>
        <v>0</v>
      </c>
      <c r="I1198" s="231">
        <f t="shared" si="37"/>
        <v>0</v>
      </c>
    </row>
    <row r="1199" spans="1:9" hidden="1">
      <c r="A1199" s="1566"/>
      <c r="B1199" s="359"/>
      <c r="C1199" s="660"/>
      <c r="D1199" s="660"/>
      <c r="E1199" s="660"/>
      <c r="F1199" s="232"/>
      <c r="G1199" s="232"/>
      <c r="H1199" s="231">
        <f t="shared" si="36"/>
        <v>0</v>
      </c>
      <c r="I1199" s="231">
        <f t="shared" si="37"/>
        <v>0</v>
      </c>
    </row>
    <row r="1200" spans="1:9" hidden="1">
      <c r="A1200" s="1566"/>
      <c r="B1200" s="385"/>
      <c r="C1200" s="638"/>
      <c r="D1200" s="638"/>
      <c r="E1200" s="639"/>
      <c r="F1200" s="232"/>
      <c r="G1200" s="232"/>
      <c r="H1200" s="231">
        <f t="shared" si="36"/>
        <v>0</v>
      </c>
      <c r="I1200" s="231">
        <f t="shared" si="37"/>
        <v>0</v>
      </c>
    </row>
    <row r="1201" spans="1:9" hidden="1">
      <c r="A1201" s="1566"/>
      <c r="B1201" s="385"/>
      <c r="C1201" s="638"/>
      <c r="D1201" s="638"/>
      <c r="E1201" s="639"/>
      <c r="F1201" s="232"/>
      <c r="G1201" s="232"/>
      <c r="H1201" s="231">
        <f t="shared" si="36"/>
        <v>0</v>
      </c>
      <c r="I1201" s="231">
        <f t="shared" si="37"/>
        <v>0</v>
      </c>
    </row>
    <row r="1202" spans="1:9" hidden="1">
      <c r="A1202" s="1566"/>
      <c r="B1202" s="390"/>
      <c r="C1202" s="651"/>
      <c r="D1202" s="692"/>
      <c r="E1202" s="692"/>
      <c r="F1202" s="232"/>
      <c r="G1202" s="232"/>
      <c r="H1202" s="231">
        <f t="shared" si="36"/>
        <v>0</v>
      </c>
      <c r="I1202" s="231">
        <f t="shared" si="37"/>
        <v>0</v>
      </c>
    </row>
    <row r="1203" spans="1:9" hidden="1">
      <c r="A1203" s="1566"/>
      <c r="B1203" s="181"/>
      <c r="C1203" s="654"/>
      <c r="D1203" s="654"/>
      <c r="E1203" s="655"/>
      <c r="F1203" s="232"/>
      <c r="G1203" s="232"/>
      <c r="H1203" s="231">
        <f t="shared" si="36"/>
        <v>0</v>
      </c>
      <c r="I1203" s="231">
        <f t="shared" si="37"/>
        <v>0</v>
      </c>
    </row>
    <row r="1204" spans="1:9" hidden="1">
      <c r="A1204" s="1566"/>
      <c r="B1204" s="181"/>
      <c r="C1204" s="654"/>
      <c r="D1204" s="654"/>
      <c r="E1204" s="655"/>
      <c r="F1204" s="232"/>
      <c r="G1204" s="232"/>
      <c r="H1204" s="231">
        <f t="shared" si="36"/>
        <v>0</v>
      </c>
      <c r="I1204" s="231">
        <f t="shared" si="37"/>
        <v>0</v>
      </c>
    </row>
    <row r="1205" spans="1:9" hidden="1">
      <c r="A1205" s="1566"/>
      <c r="B1205" s="181"/>
      <c r="C1205" s="654"/>
      <c r="D1205" s="654"/>
      <c r="E1205" s="655"/>
      <c r="F1205" s="232"/>
      <c r="G1205" s="232"/>
      <c r="H1205" s="231">
        <f t="shared" si="36"/>
        <v>0</v>
      </c>
      <c r="I1205" s="231">
        <f t="shared" si="37"/>
        <v>0</v>
      </c>
    </row>
    <row r="1206" spans="1:9" hidden="1">
      <c r="A1206" s="1566"/>
      <c r="B1206" s="212"/>
      <c r="C1206" s="654"/>
      <c r="D1206" s="654"/>
      <c r="E1206" s="655"/>
      <c r="F1206" s="232"/>
      <c r="G1206" s="232"/>
      <c r="H1206" s="231">
        <f t="shared" si="36"/>
        <v>0</v>
      </c>
      <c r="I1206" s="231">
        <f t="shared" si="37"/>
        <v>0</v>
      </c>
    </row>
    <row r="1207" spans="1:9" hidden="1">
      <c r="A1207" s="1566"/>
      <c r="B1207" s="107"/>
      <c r="C1207" s="654"/>
      <c r="D1207" s="654"/>
      <c r="E1207" s="256"/>
      <c r="F1207" s="232"/>
      <c r="G1207" s="232"/>
      <c r="H1207" s="231">
        <f t="shared" si="36"/>
        <v>0</v>
      </c>
      <c r="I1207" s="231">
        <f t="shared" si="37"/>
        <v>0</v>
      </c>
    </row>
    <row r="1208" spans="1:9" hidden="1">
      <c r="A1208" s="1566"/>
      <c r="B1208" s="107"/>
      <c r="C1208" s="654"/>
      <c r="D1208" s="654"/>
      <c r="E1208" s="256"/>
      <c r="F1208" s="232"/>
      <c r="G1208" s="232"/>
      <c r="H1208" s="231">
        <f t="shared" si="36"/>
        <v>0</v>
      </c>
      <c r="I1208" s="231">
        <f t="shared" si="37"/>
        <v>0</v>
      </c>
    </row>
    <row r="1209" spans="1:9" hidden="1">
      <c r="A1209" s="1566"/>
      <c r="B1209" s="107"/>
      <c r="C1209" s="654"/>
      <c r="D1209" s="654"/>
      <c r="E1209" s="256"/>
      <c r="F1209" s="232"/>
      <c r="G1209" s="232"/>
      <c r="H1209" s="231">
        <f t="shared" si="36"/>
        <v>0</v>
      </c>
      <c r="I1209" s="231">
        <f t="shared" si="37"/>
        <v>0</v>
      </c>
    </row>
    <row r="1210" spans="1:9" hidden="1">
      <c r="A1210" s="1566"/>
      <c r="B1210" s="107"/>
      <c r="C1210" s="654"/>
      <c r="D1210" s="654"/>
      <c r="E1210" s="256"/>
      <c r="F1210" s="232"/>
      <c r="G1210" s="232"/>
      <c r="H1210" s="231">
        <f t="shared" si="36"/>
        <v>0</v>
      </c>
      <c r="I1210" s="231">
        <f t="shared" si="37"/>
        <v>0</v>
      </c>
    </row>
    <row r="1211" spans="1:9" hidden="1">
      <c r="A1211" s="1566"/>
      <c r="B1211" s="107"/>
      <c r="C1211" s="654"/>
      <c r="D1211" s="654"/>
      <c r="E1211" s="256"/>
      <c r="F1211" s="232"/>
      <c r="G1211" s="232"/>
      <c r="H1211" s="231">
        <f t="shared" si="36"/>
        <v>0</v>
      </c>
      <c r="I1211" s="231">
        <f t="shared" si="37"/>
        <v>0</v>
      </c>
    </row>
    <row r="1212" spans="1:9" hidden="1">
      <c r="A1212" s="1566"/>
      <c r="B1212" s="107"/>
      <c r="C1212" s="654"/>
      <c r="D1212" s="654"/>
      <c r="E1212" s="256"/>
      <c r="F1212" s="232"/>
      <c r="G1212" s="232"/>
      <c r="H1212" s="231">
        <f t="shared" si="36"/>
        <v>0</v>
      </c>
      <c r="I1212" s="231">
        <f t="shared" si="37"/>
        <v>0</v>
      </c>
    </row>
    <row r="1213" spans="1:9" hidden="1">
      <c r="A1213" s="1566"/>
      <c r="B1213" s="107"/>
      <c r="C1213" s="654"/>
      <c r="D1213" s="654"/>
      <c r="E1213" s="256"/>
      <c r="F1213" s="232"/>
      <c r="G1213" s="232"/>
      <c r="H1213" s="231">
        <f t="shared" si="36"/>
        <v>0</v>
      </c>
      <c r="I1213" s="231">
        <f t="shared" si="37"/>
        <v>0</v>
      </c>
    </row>
    <row r="1214" spans="1:9" hidden="1">
      <c r="A1214" s="1566"/>
      <c r="B1214" s="107"/>
      <c r="C1214" s="654"/>
      <c r="D1214" s="654"/>
      <c r="E1214" s="256"/>
      <c r="F1214" s="232"/>
      <c r="G1214" s="232"/>
      <c r="H1214" s="231">
        <f t="shared" si="36"/>
        <v>0</v>
      </c>
      <c r="I1214" s="231">
        <f t="shared" si="37"/>
        <v>0</v>
      </c>
    </row>
    <row r="1215" spans="1:9" hidden="1">
      <c r="A1215" s="1566"/>
      <c r="B1215" s="107"/>
      <c r="C1215" s="654"/>
      <c r="D1215" s="654"/>
      <c r="E1215" s="256"/>
      <c r="F1215" s="232"/>
      <c r="G1215" s="232"/>
      <c r="H1215" s="231">
        <f t="shared" si="36"/>
        <v>0</v>
      </c>
      <c r="I1215" s="231">
        <f t="shared" si="37"/>
        <v>0</v>
      </c>
    </row>
    <row r="1216" spans="1:9" hidden="1">
      <c r="A1216" s="1566"/>
      <c r="B1216" s="107"/>
      <c r="C1216" s="654"/>
      <c r="D1216" s="654"/>
      <c r="E1216" s="256"/>
      <c r="F1216" s="232"/>
      <c r="G1216" s="232"/>
      <c r="H1216" s="231">
        <f t="shared" si="36"/>
        <v>0</v>
      </c>
      <c r="I1216" s="231">
        <f t="shared" si="37"/>
        <v>0</v>
      </c>
    </row>
    <row r="1217" spans="1:9" hidden="1">
      <c r="A1217" s="1566"/>
      <c r="B1217" s="107"/>
      <c r="C1217" s="654"/>
      <c r="D1217" s="654"/>
      <c r="E1217" s="256"/>
      <c r="F1217" s="232"/>
      <c r="G1217" s="232"/>
      <c r="H1217" s="231">
        <f t="shared" si="36"/>
        <v>0</v>
      </c>
      <c r="I1217" s="231">
        <f t="shared" si="37"/>
        <v>0</v>
      </c>
    </row>
    <row r="1218" spans="1:9" hidden="1">
      <c r="A1218" s="1566"/>
      <c r="B1218" s="107"/>
      <c r="C1218" s="654"/>
      <c r="D1218" s="654"/>
      <c r="E1218" s="256"/>
      <c r="F1218" s="232"/>
      <c r="G1218" s="232"/>
      <c r="H1218" s="231">
        <f t="shared" si="36"/>
        <v>0</v>
      </c>
      <c r="I1218" s="231">
        <f t="shared" si="37"/>
        <v>0</v>
      </c>
    </row>
    <row r="1219" spans="1:9" hidden="1">
      <c r="A1219" s="1566"/>
      <c r="B1219" s="107"/>
      <c r="C1219" s="654"/>
      <c r="D1219" s="654"/>
      <c r="E1219" s="256"/>
      <c r="F1219" s="232"/>
      <c r="G1219" s="232"/>
      <c r="H1219" s="231">
        <f t="shared" si="36"/>
        <v>0</v>
      </c>
      <c r="I1219" s="231">
        <f t="shared" si="37"/>
        <v>0</v>
      </c>
    </row>
    <row r="1220" spans="1:9" hidden="1">
      <c r="A1220" s="1566"/>
      <c r="B1220" s="107"/>
      <c r="C1220" s="654"/>
      <c r="D1220" s="654"/>
      <c r="E1220" s="256"/>
      <c r="F1220" s="232"/>
      <c r="G1220" s="232"/>
      <c r="H1220" s="231">
        <f t="shared" si="36"/>
        <v>0</v>
      </c>
      <c r="I1220" s="231">
        <f t="shared" si="37"/>
        <v>0</v>
      </c>
    </row>
    <row r="1221" spans="1:9" hidden="1">
      <c r="A1221" s="1566"/>
      <c r="B1221" s="107"/>
      <c r="C1221" s="654"/>
      <c r="D1221" s="654"/>
      <c r="E1221" s="256"/>
      <c r="F1221" s="232"/>
      <c r="G1221" s="232"/>
      <c r="H1221" s="231">
        <f t="shared" si="36"/>
        <v>0</v>
      </c>
      <c r="I1221" s="231">
        <f t="shared" si="37"/>
        <v>0</v>
      </c>
    </row>
    <row r="1222" spans="1:9" hidden="1">
      <c r="A1222" s="1566"/>
      <c r="B1222" s="107"/>
      <c r="C1222" s="654"/>
      <c r="D1222" s="654"/>
      <c r="E1222" s="256"/>
      <c r="F1222" s="232"/>
      <c r="G1222" s="232"/>
      <c r="H1222" s="231">
        <f t="shared" si="36"/>
        <v>0</v>
      </c>
      <c r="I1222" s="231">
        <f t="shared" si="37"/>
        <v>0</v>
      </c>
    </row>
    <row r="1223" spans="1:9" hidden="1">
      <c r="A1223" s="1566"/>
      <c r="B1223" s="107"/>
      <c r="C1223" s="654"/>
      <c r="D1223" s="654"/>
      <c r="E1223" s="256"/>
      <c r="F1223" s="232"/>
      <c r="G1223" s="232"/>
      <c r="H1223" s="231">
        <f t="shared" si="36"/>
        <v>0</v>
      </c>
      <c r="I1223" s="231">
        <f t="shared" si="37"/>
        <v>0</v>
      </c>
    </row>
    <row r="1224" spans="1:9" hidden="1">
      <c r="A1224" s="1566"/>
      <c r="B1224" s="107"/>
      <c r="C1224" s="654"/>
      <c r="D1224" s="654"/>
      <c r="E1224" s="256"/>
      <c r="F1224" s="232"/>
      <c r="G1224" s="232"/>
      <c r="H1224" s="231">
        <f t="shared" si="36"/>
        <v>0</v>
      </c>
      <c r="I1224" s="231">
        <f t="shared" si="37"/>
        <v>0</v>
      </c>
    </row>
    <row r="1225" spans="1:9" hidden="1">
      <c r="A1225" s="1566"/>
      <c r="B1225" s="107"/>
      <c r="C1225" s="654"/>
      <c r="D1225" s="654"/>
      <c r="E1225" s="256"/>
      <c r="F1225" s="232"/>
      <c r="G1225" s="232"/>
      <c r="H1225" s="231">
        <f t="shared" ref="H1225:H1288" si="38">E1225+D1225-C1225</f>
        <v>0</v>
      </c>
      <c r="I1225" s="231">
        <f t="shared" ref="I1225:I1288" si="39">SUM(C1225:E1225)</f>
        <v>0</v>
      </c>
    </row>
    <row r="1226" spans="1:9" hidden="1">
      <c r="A1226" s="1566"/>
      <c r="B1226" s="107"/>
      <c r="C1226" s="654"/>
      <c r="D1226" s="654"/>
      <c r="E1226" s="256"/>
      <c r="F1226" s="232"/>
      <c r="G1226" s="232"/>
      <c r="H1226" s="231">
        <f t="shared" si="38"/>
        <v>0</v>
      </c>
      <c r="I1226" s="231">
        <f t="shared" si="39"/>
        <v>0</v>
      </c>
    </row>
    <row r="1227" spans="1:9" hidden="1">
      <c r="A1227" s="1566"/>
      <c r="B1227" s="107"/>
      <c r="C1227" s="654"/>
      <c r="D1227" s="654"/>
      <c r="E1227" s="256"/>
      <c r="F1227" s="232"/>
      <c r="G1227" s="232"/>
      <c r="H1227" s="231">
        <f t="shared" si="38"/>
        <v>0</v>
      </c>
      <c r="I1227" s="231">
        <f t="shared" si="39"/>
        <v>0</v>
      </c>
    </row>
    <row r="1228" spans="1:9" hidden="1">
      <c r="A1228" s="1566"/>
      <c r="B1228" s="107"/>
      <c r="C1228" s="654"/>
      <c r="D1228" s="654"/>
      <c r="E1228" s="256"/>
      <c r="F1228" s="232"/>
      <c r="G1228" s="232"/>
      <c r="H1228" s="231">
        <f t="shared" si="38"/>
        <v>0</v>
      </c>
      <c r="I1228" s="231">
        <f t="shared" si="39"/>
        <v>0</v>
      </c>
    </row>
    <row r="1229" spans="1:9" hidden="1">
      <c r="A1229" s="1566"/>
      <c r="B1229" s="107"/>
      <c r="C1229" s="654"/>
      <c r="D1229" s="654"/>
      <c r="E1229" s="256"/>
      <c r="F1229" s="232"/>
      <c r="G1229" s="232"/>
      <c r="H1229" s="231">
        <f t="shared" si="38"/>
        <v>0</v>
      </c>
      <c r="I1229" s="231">
        <f t="shared" si="39"/>
        <v>0</v>
      </c>
    </row>
    <row r="1230" spans="1:9" hidden="1">
      <c r="A1230" s="1566"/>
      <c r="B1230" s="107"/>
      <c r="C1230" s="654"/>
      <c r="D1230" s="654"/>
      <c r="E1230" s="256"/>
      <c r="F1230" s="232"/>
      <c r="G1230" s="232"/>
      <c r="H1230" s="231">
        <f t="shared" si="38"/>
        <v>0</v>
      </c>
      <c r="I1230" s="231">
        <f t="shared" si="39"/>
        <v>0</v>
      </c>
    </row>
    <row r="1231" spans="1:9" hidden="1">
      <c r="A1231" s="1566"/>
      <c r="B1231" s="107"/>
      <c r="C1231" s="654"/>
      <c r="D1231" s="654"/>
      <c r="E1231" s="256"/>
      <c r="F1231" s="232"/>
      <c r="G1231" s="232"/>
      <c r="H1231" s="231">
        <f t="shared" si="38"/>
        <v>0</v>
      </c>
      <c r="I1231" s="231">
        <f t="shared" si="39"/>
        <v>0</v>
      </c>
    </row>
    <row r="1232" spans="1:9" hidden="1">
      <c r="A1232" s="1566"/>
      <c r="B1232" s="107"/>
      <c r="C1232" s="654"/>
      <c r="D1232" s="654"/>
      <c r="E1232" s="256"/>
      <c r="F1232" s="232"/>
      <c r="G1232" s="232"/>
      <c r="H1232" s="231">
        <f t="shared" si="38"/>
        <v>0</v>
      </c>
      <c r="I1232" s="231">
        <f t="shared" si="39"/>
        <v>0</v>
      </c>
    </row>
    <row r="1233" spans="1:9" hidden="1">
      <c r="A1233" s="1566"/>
      <c r="B1233" s="107"/>
      <c r="C1233" s="654"/>
      <c r="D1233" s="654"/>
      <c r="E1233" s="256"/>
      <c r="F1233" s="232"/>
      <c r="G1233" s="232"/>
      <c r="H1233" s="231">
        <f t="shared" si="38"/>
        <v>0</v>
      </c>
      <c r="I1233" s="231">
        <f t="shared" si="39"/>
        <v>0</v>
      </c>
    </row>
    <row r="1234" spans="1:9" hidden="1">
      <c r="A1234" s="1566"/>
      <c r="B1234" s="107"/>
      <c r="C1234" s="654"/>
      <c r="D1234" s="654"/>
      <c r="E1234" s="256"/>
      <c r="F1234" s="232"/>
      <c r="G1234" s="232"/>
      <c r="H1234" s="231">
        <f t="shared" si="38"/>
        <v>0</v>
      </c>
      <c r="I1234" s="231">
        <f t="shared" si="39"/>
        <v>0</v>
      </c>
    </row>
    <row r="1235" spans="1:9" hidden="1">
      <c r="A1235" s="1566"/>
      <c r="B1235" s="107"/>
      <c r="C1235" s="654"/>
      <c r="D1235" s="654"/>
      <c r="E1235" s="256"/>
      <c r="F1235" s="232"/>
      <c r="G1235" s="232"/>
      <c r="H1235" s="231">
        <f t="shared" si="38"/>
        <v>0</v>
      </c>
      <c r="I1235" s="231">
        <f t="shared" si="39"/>
        <v>0</v>
      </c>
    </row>
    <row r="1236" spans="1:9" hidden="1">
      <c r="A1236" s="1566"/>
      <c r="B1236" s="107"/>
      <c r="C1236" s="654"/>
      <c r="D1236" s="654"/>
      <c r="E1236" s="256"/>
      <c r="F1236" s="232"/>
      <c r="G1236" s="232"/>
      <c r="H1236" s="231">
        <f t="shared" si="38"/>
        <v>0</v>
      </c>
      <c r="I1236" s="231">
        <f t="shared" si="39"/>
        <v>0</v>
      </c>
    </row>
    <row r="1237" spans="1:9" s="7" customFormat="1" hidden="1">
      <c r="A1237" s="1558"/>
      <c r="B1237" s="227"/>
      <c r="C1237" s="256"/>
      <c r="D1237" s="256"/>
      <c r="E1237" s="256"/>
      <c r="F1237" s="232"/>
      <c r="G1237" s="232"/>
      <c r="H1237" s="231">
        <f t="shared" si="38"/>
        <v>0</v>
      </c>
      <c r="I1237" s="231">
        <f t="shared" si="39"/>
        <v>0</v>
      </c>
    </row>
    <row r="1238" spans="1:9" s="7" customFormat="1" hidden="1">
      <c r="A1238" s="1558"/>
      <c r="B1238" s="227"/>
      <c r="C1238" s="256"/>
      <c r="D1238" s="256"/>
      <c r="E1238" s="256"/>
      <c r="F1238" s="232"/>
      <c r="G1238" s="232"/>
      <c r="H1238" s="231">
        <f t="shared" si="38"/>
        <v>0</v>
      </c>
      <c r="I1238" s="231">
        <f t="shared" si="39"/>
        <v>0</v>
      </c>
    </row>
    <row r="1239" spans="1:9" s="7" customFormat="1" hidden="1">
      <c r="A1239" s="1558"/>
      <c r="B1239" s="227"/>
      <c r="C1239" s="256"/>
      <c r="D1239" s="256"/>
      <c r="E1239" s="256"/>
      <c r="F1239" s="232"/>
      <c r="G1239" s="232"/>
      <c r="H1239" s="231">
        <f t="shared" si="38"/>
        <v>0</v>
      </c>
      <c r="I1239" s="231">
        <f t="shared" si="39"/>
        <v>0</v>
      </c>
    </row>
    <row r="1240" spans="1:9" s="7" customFormat="1" hidden="1">
      <c r="A1240" s="1558"/>
      <c r="B1240" s="227"/>
      <c r="C1240" s="256"/>
      <c r="D1240" s="256"/>
      <c r="E1240" s="256"/>
      <c r="F1240" s="232"/>
      <c r="G1240" s="232"/>
      <c r="H1240" s="231">
        <f t="shared" si="38"/>
        <v>0</v>
      </c>
      <c r="I1240" s="231">
        <f t="shared" si="39"/>
        <v>0</v>
      </c>
    </row>
    <row r="1241" spans="1:9" s="7" customFormat="1" hidden="1">
      <c r="A1241" s="1558"/>
      <c r="B1241" s="227"/>
      <c r="C1241" s="256"/>
      <c r="D1241" s="256"/>
      <c r="E1241" s="256"/>
      <c r="F1241" s="232"/>
      <c r="G1241" s="232"/>
      <c r="H1241" s="231">
        <f t="shared" si="38"/>
        <v>0</v>
      </c>
      <c r="I1241" s="231">
        <f t="shared" si="39"/>
        <v>0</v>
      </c>
    </row>
    <row r="1242" spans="1:9" s="7" customFormat="1" hidden="1">
      <c r="A1242" s="1558"/>
      <c r="B1242" s="227"/>
      <c r="C1242" s="256"/>
      <c r="D1242" s="256"/>
      <c r="E1242" s="256"/>
      <c r="F1242" s="232"/>
      <c r="G1242" s="232"/>
      <c r="H1242" s="231">
        <f t="shared" si="38"/>
        <v>0</v>
      </c>
      <c r="I1242" s="231">
        <f t="shared" si="39"/>
        <v>0</v>
      </c>
    </row>
    <row r="1243" spans="1:9" s="7" customFormat="1" hidden="1">
      <c r="A1243" s="1558"/>
      <c r="B1243" s="227"/>
      <c r="C1243" s="256"/>
      <c r="D1243" s="256"/>
      <c r="E1243" s="256"/>
      <c r="F1243" s="232"/>
      <c r="G1243" s="232"/>
      <c r="H1243" s="231">
        <f t="shared" si="38"/>
        <v>0</v>
      </c>
      <c r="I1243" s="231">
        <f t="shared" si="39"/>
        <v>0</v>
      </c>
    </row>
    <row r="1244" spans="1:9" s="7" customFormat="1" hidden="1">
      <c r="A1244" s="1558"/>
      <c r="B1244" s="227"/>
      <c r="C1244" s="256"/>
      <c r="D1244" s="256"/>
      <c r="E1244" s="256"/>
      <c r="F1244" s="232"/>
      <c r="G1244" s="232"/>
      <c r="H1244" s="231">
        <f t="shared" si="38"/>
        <v>0</v>
      </c>
      <c r="I1244" s="231">
        <f t="shared" si="39"/>
        <v>0</v>
      </c>
    </row>
    <row r="1245" spans="1:9" s="7" customFormat="1" hidden="1">
      <c r="A1245" s="1558"/>
      <c r="B1245" s="227"/>
      <c r="C1245" s="256"/>
      <c r="D1245" s="256"/>
      <c r="E1245" s="256"/>
      <c r="F1245" s="232"/>
      <c r="G1245" s="232"/>
      <c r="H1245" s="231">
        <f t="shared" si="38"/>
        <v>0</v>
      </c>
      <c r="I1245" s="231">
        <f t="shared" si="39"/>
        <v>0</v>
      </c>
    </row>
    <row r="1246" spans="1:9" s="7" customFormat="1" hidden="1">
      <c r="A1246" s="1558"/>
      <c r="B1246" s="227"/>
      <c r="C1246" s="256"/>
      <c r="D1246" s="256"/>
      <c r="E1246" s="256"/>
      <c r="F1246" s="232"/>
      <c r="G1246" s="232"/>
      <c r="H1246" s="231">
        <f t="shared" si="38"/>
        <v>0</v>
      </c>
      <c r="I1246" s="231">
        <f t="shared" si="39"/>
        <v>0</v>
      </c>
    </row>
    <row r="1247" spans="1:9" s="7" customFormat="1" hidden="1">
      <c r="A1247" s="1558"/>
      <c r="B1247" s="227"/>
      <c r="C1247" s="256"/>
      <c r="D1247" s="256"/>
      <c r="E1247" s="256"/>
      <c r="F1247" s="232"/>
      <c r="G1247" s="232"/>
      <c r="H1247" s="231">
        <f t="shared" si="38"/>
        <v>0</v>
      </c>
      <c r="I1247" s="231">
        <f t="shared" si="39"/>
        <v>0</v>
      </c>
    </row>
    <row r="1248" spans="1:9" s="7" customFormat="1" ht="18" hidden="1" customHeight="1">
      <c r="A1248" s="1554"/>
      <c r="B1248" s="276"/>
      <c r="C1248" s="275"/>
      <c r="D1248" s="682"/>
      <c r="E1248" s="682"/>
      <c r="F1248" s="232"/>
      <c r="G1248" s="232"/>
      <c r="H1248" s="231">
        <f t="shared" si="38"/>
        <v>0</v>
      </c>
      <c r="I1248" s="231">
        <f t="shared" si="39"/>
        <v>0</v>
      </c>
    </row>
    <row r="1249" spans="1:9" s="7" customFormat="1" ht="18" hidden="1" customHeight="1">
      <c r="A1249" s="1554"/>
      <c r="B1249" s="102"/>
      <c r="C1249" s="256"/>
      <c r="D1249" s="654"/>
      <c r="E1249" s="654"/>
      <c r="F1249" s="232"/>
      <c r="G1249" s="232"/>
      <c r="H1249" s="231">
        <f t="shared" si="38"/>
        <v>0</v>
      </c>
      <c r="I1249" s="231">
        <f t="shared" si="39"/>
        <v>0</v>
      </c>
    </row>
    <row r="1250" spans="1:9" s="7" customFormat="1" ht="18" hidden="1" customHeight="1">
      <c r="A1250" s="1554"/>
      <c r="B1250" s="102"/>
      <c r="C1250" s="256"/>
      <c r="D1250" s="654"/>
      <c r="E1250" s="654"/>
      <c r="F1250" s="232"/>
      <c r="G1250" s="232"/>
      <c r="H1250" s="231">
        <f t="shared" si="38"/>
        <v>0</v>
      </c>
      <c r="I1250" s="231">
        <f t="shared" si="39"/>
        <v>0</v>
      </c>
    </row>
    <row r="1251" spans="1:9" s="7" customFormat="1" ht="18" hidden="1" customHeight="1">
      <c r="A1251" s="1554"/>
      <c r="B1251" s="102"/>
      <c r="C1251" s="256"/>
      <c r="D1251" s="654"/>
      <c r="E1251" s="654"/>
      <c r="F1251" s="232"/>
      <c r="G1251" s="232"/>
      <c r="H1251" s="231">
        <f t="shared" si="38"/>
        <v>0</v>
      </c>
      <c r="I1251" s="231">
        <f t="shared" si="39"/>
        <v>0</v>
      </c>
    </row>
    <row r="1252" spans="1:9" s="7" customFormat="1" ht="18" hidden="1" customHeight="1">
      <c r="A1252" s="1554"/>
      <c r="B1252" s="102"/>
      <c r="C1252" s="256"/>
      <c r="D1252" s="654"/>
      <c r="E1252" s="654"/>
      <c r="F1252" s="232"/>
      <c r="G1252" s="232"/>
      <c r="H1252" s="231">
        <f t="shared" si="38"/>
        <v>0</v>
      </c>
      <c r="I1252" s="231">
        <f t="shared" si="39"/>
        <v>0</v>
      </c>
    </row>
    <row r="1253" spans="1:9" s="7" customFormat="1" ht="18" hidden="1" customHeight="1">
      <c r="A1253" s="1554"/>
      <c r="B1253" s="102"/>
      <c r="C1253" s="256"/>
      <c r="D1253" s="654"/>
      <c r="E1253" s="654"/>
      <c r="F1253" s="232"/>
      <c r="G1253" s="232"/>
      <c r="H1253" s="231">
        <f t="shared" si="38"/>
        <v>0</v>
      </c>
      <c r="I1253" s="231">
        <f t="shared" si="39"/>
        <v>0</v>
      </c>
    </row>
    <row r="1254" spans="1:9" s="7" customFormat="1" ht="18" hidden="1" customHeight="1">
      <c r="A1254" s="1554"/>
      <c r="B1254" s="102"/>
      <c r="C1254" s="256"/>
      <c r="D1254" s="654"/>
      <c r="E1254" s="654"/>
      <c r="F1254" s="232"/>
      <c r="G1254" s="232"/>
      <c r="H1254" s="231">
        <f t="shared" si="38"/>
        <v>0</v>
      </c>
      <c r="I1254" s="231">
        <f t="shared" si="39"/>
        <v>0</v>
      </c>
    </row>
    <row r="1255" spans="1:9" s="7" customFormat="1" ht="18" hidden="1" customHeight="1">
      <c r="A1255" s="1554"/>
      <c r="B1255" s="102"/>
      <c r="C1255" s="256"/>
      <c r="D1255" s="654"/>
      <c r="E1255" s="654"/>
      <c r="F1255" s="232"/>
      <c r="G1255" s="232"/>
      <c r="H1255" s="231">
        <f t="shared" si="38"/>
        <v>0</v>
      </c>
      <c r="I1255" s="231">
        <f t="shared" si="39"/>
        <v>0</v>
      </c>
    </row>
    <row r="1256" spans="1:9" s="7" customFormat="1" ht="18" hidden="1" customHeight="1">
      <c r="A1256" s="1554"/>
      <c r="B1256" s="102"/>
      <c r="C1256" s="256"/>
      <c r="D1256" s="654"/>
      <c r="E1256" s="654"/>
      <c r="F1256" s="232"/>
      <c r="G1256" s="232"/>
      <c r="H1256" s="231">
        <f t="shared" si="38"/>
        <v>0</v>
      </c>
      <c r="I1256" s="231">
        <f t="shared" si="39"/>
        <v>0</v>
      </c>
    </row>
    <row r="1257" spans="1:9" s="7" customFormat="1" ht="18" hidden="1" customHeight="1">
      <c r="A1257" s="1554"/>
      <c r="B1257" s="102"/>
      <c r="C1257" s="256"/>
      <c r="D1257" s="654"/>
      <c r="E1257" s="654"/>
      <c r="F1257" s="232"/>
      <c r="G1257" s="232"/>
      <c r="H1257" s="231">
        <f t="shared" si="38"/>
        <v>0</v>
      </c>
      <c r="I1257" s="231">
        <f t="shared" si="39"/>
        <v>0</v>
      </c>
    </row>
    <row r="1258" spans="1:9" s="7" customFormat="1" ht="18" hidden="1" customHeight="1">
      <c r="A1258" s="1554"/>
      <c r="B1258" s="102"/>
      <c r="C1258" s="256"/>
      <c r="D1258" s="654"/>
      <c r="E1258" s="654"/>
      <c r="F1258" s="232"/>
      <c r="G1258" s="232"/>
      <c r="H1258" s="231">
        <f t="shared" si="38"/>
        <v>0</v>
      </c>
      <c r="I1258" s="231">
        <f t="shared" si="39"/>
        <v>0</v>
      </c>
    </row>
    <row r="1259" spans="1:9" s="7" customFormat="1" ht="18" hidden="1" customHeight="1">
      <c r="A1259" s="1554"/>
      <c r="B1259" s="102"/>
      <c r="C1259" s="256"/>
      <c r="D1259" s="654"/>
      <c r="E1259" s="654"/>
      <c r="F1259" s="232"/>
      <c r="G1259" s="232"/>
      <c r="H1259" s="231">
        <f t="shared" si="38"/>
        <v>0</v>
      </c>
      <c r="I1259" s="231">
        <f t="shared" si="39"/>
        <v>0</v>
      </c>
    </row>
    <row r="1260" spans="1:9" s="7" customFormat="1" ht="18" hidden="1" customHeight="1">
      <c r="A1260" s="1554"/>
      <c r="B1260" s="102"/>
      <c r="C1260" s="256"/>
      <c r="D1260" s="654"/>
      <c r="E1260" s="654"/>
      <c r="F1260" s="232"/>
      <c r="G1260" s="232"/>
      <c r="H1260" s="231">
        <f t="shared" si="38"/>
        <v>0</v>
      </c>
      <c r="I1260" s="231">
        <f t="shared" si="39"/>
        <v>0</v>
      </c>
    </row>
    <row r="1261" spans="1:9" s="7" customFormat="1" ht="18" hidden="1" customHeight="1">
      <c r="A1261" s="1554"/>
      <c r="B1261" s="102"/>
      <c r="C1261" s="256"/>
      <c r="D1261" s="654"/>
      <c r="E1261" s="654"/>
      <c r="F1261" s="232"/>
      <c r="G1261" s="232"/>
      <c r="H1261" s="231">
        <f t="shared" si="38"/>
        <v>0</v>
      </c>
      <c r="I1261" s="231">
        <f t="shared" si="39"/>
        <v>0</v>
      </c>
    </row>
    <row r="1262" spans="1:9" s="7" customFormat="1" ht="18" hidden="1" customHeight="1">
      <c r="A1262" s="1554"/>
      <c r="B1262" s="102"/>
      <c r="C1262" s="256"/>
      <c r="D1262" s="654"/>
      <c r="E1262" s="654"/>
      <c r="F1262" s="232"/>
      <c r="G1262" s="232"/>
      <c r="H1262" s="231">
        <f t="shared" si="38"/>
        <v>0</v>
      </c>
      <c r="I1262" s="231">
        <f t="shared" si="39"/>
        <v>0</v>
      </c>
    </row>
    <row r="1263" spans="1:9" s="7" customFormat="1" ht="18" hidden="1" customHeight="1">
      <c r="A1263" s="1554"/>
      <c r="B1263" s="102"/>
      <c r="C1263" s="256"/>
      <c r="D1263" s="654"/>
      <c r="E1263" s="654"/>
      <c r="F1263" s="232"/>
      <c r="G1263" s="232"/>
      <c r="H1263" s="231">
        <f t="shared" si="38"/>
        <v>0</v>
      </c>
      <c r="I1263" s="231">
        <f t="shared" si="39"/>
        <v>0</v>
      </c>
    </row>
    <row r="1264" spans="1:9" s="7" customFormat="1" ht="18" hidden="1" customHeight="1">
      <c r="A1264" s="1554"/>
      <c r="B1264" s="270"/>
      <c r="C1264" s="657"/>
      <c r="D1264" s="656"/>
      <c r="E1264" s="656"/>
      <c r="F1264" s="232"/>
      <c r="G1264" s="232"/>
      <c r="H1264" s="231">
        <f t="shared" si="38"/>
        <v>0</v>
      </c>
      <c r="I1264" s="231">
        <f t="shared" si="39"/>
        <v>0</v>
      </c>
    </row>
    <row r="1265" spans="1:12">
      <c r="A1265" s="1566"/>
      <c r="B1265" s="209" t="s">
        <v>985</v>
      </c>
      <c r="C1265" s="581">
        <f>SUM(C1167:C1264)</f>
        <v>1202256</v>
      </c>
      <c r="D1265" s="581">
        <f>SUM(D1167:D1264)</f>
        <v>1177256</v>
      </c>
      <c r="E1265" s="581">
        <f>SUM(E1167:E1264)</f>
        <v>25000</v>
      </c>
      <c r="F1265" s="263">
        <f>SUM(F1167:F1182)</f>
        <v>0</v>
      </c>
      <c r="G1265" s="236">
        <f>SUM(G1167:G1182)</f>
        <v>0</v>
      </c>
      <c r="H1265" s="1497">
        <f t="shared" si="38"/>
        <v>0</v>
      </c>
      <c r="I1265" s="1497">
        <f t="shared" si="39"/>
        <v>2404512</v>
      </c>
      <c r="J1265" s="1440"/>
      <c r="K1265" s="1490"/>
      <c r="L1265" s="1490"/>
    </row>
    <row r="1266" spans="1:12" ht="75">
      <c r="A1266" s="1566" t="s">
        <v>1154</v>
      </c>
      <c r="B1266" s="181" t="s">
        <v>772</v>
      </c>
      <c r="C1266" s="644">
        <v>20100</v>
      </c>
      <c r="D1266" s="589">
        <v>20100</v>
      </c>
      <c r="E1266" s="644"/>
      <c r="F1266" s="237"/>
      <c r="G1266" s="237"/>
      <c r="H1266" s="1497">
        <f t="shared" si="38"/>
        <v>0</v>
      </c>
      <c r="I1266" s="1497">
        <f t="shared" si="39"/>
        <v>40200</v>
      </c>
      <c r="J1266" s="1440"/>
      <c r="K1266" s="1490"/>
      <c r="L1266" s="1490"/>
    </row>
    <row r="1267" spans="1:12" ht="112.5">
      <c r="A1267" s="1566"/>
      <c r="B1267" s="107" t="s">
        <v>773</v>
      </c>
      <c r="C1267" s="654">
        <v>90000</v>
      </c>
      <c r="D1267" s="654"/>
      <c r="E1267" s="256">
        <v>90000</v>
      </c>
      <c r="F1267" s="237"/>
      <c r="G1267" s="237"/>
      <c r="H1267" s="1497">
        <f t="shared" si="38"/>
        <v>0</v>
      </c>
      <c r="I1267" s="1497">
        <f t="shared" si="39"/>
        <v>180000</v>
      </c>
      <c r="J1267" s="1440"/>
      <c r="K1267" s="1490"/>
      <c r="L1267" s="1490"/>
    </row>
    <row r="1268" spans="1:12" ht="37.5">
      <c r="A1268" s="1566"/>
      <c r="B1268" s="369" t="s">
        <v>1273</v>
      </c>
      <c r="C1268" s="589">
        <v>231810</v>
      </c>
      <c r="D1268" s="589">
        <v>231810</v>
      </c>
      <c r="E1268" s="510"/>
      <c r="F1268" s="232"/>
      <c r="G1268" s="232"/>
      <c r="H1268" s="1497">
        <f t="shared" si="38"/>
        <v>0</v>
      </c>
      <c r="I1268" s="1497">
        <f t="shared" si="39"/>
        <v>463620</v>
      </c>
      <c r="J1268" s="1440"/>
      <c r="K1268" s="1490"/>
      <c r="L1268" s="1490"/>
    </row>
    <row r="1269" spans="1:12" ht="56.25">
      <c r="A1269" s="1566"/>
      <c r="B1269" s="107" t="s">
        <v>1605</v>
      </c>
      <c r="C1269" s="817">
        <v>20000</v>
      </c>
      <c r="D1269" s="817">
        <v>20000</v>
      </c>
      <c r="E1269" s="184"/>
      <c r="F1269" s="232"/>
      <c r="G1269" s="232"/>
      <c r="H1269" s="1497">
        <f t="shared" si="38"/>
        <v>0</v>
      </c>
      <c r="I1269" s="1497">
        <f t="shared" si="39"/>
        <v>40000</v>
      </c>
      <c r="J1269" s="1440"/>
      <c r="K1269" s="1490"/>
      <c r="L1269" s="1490"/>
    </row>
    <row r="1270" spans="1:12" ht="56.25">
      <c r="A1270" s="1566"/>
      <c r="B1270" s="107" t="s">
        <v>1606</v>
      </c>
      <c r="C1270" s="817">
        <v>10000</v>
      </c>
      <c r="D1270" s="817">
        <v>10000</v>
      </c>
      <c r="E1270" s="184"/>
      <c r="F1270" s="232"/>
      <c r="G1270" s="232"/>
      <c r="H1270" s="1497">
        <f t="shared" si="38"/>
        <v>0</v>
      </c>
      <c r="I1270" s="1497">
        <f t="shared" si="39"/>
        <v>20000</v>
      </c>
      <c r="J1270" s="1440"/>
      <c r="K1270" s="1490"/>
      <c r="L1270" s="1490"/>
    </row>
    <row r="1271" spans="1:12" ht="75">
      <c r="A1271" s="1566"/>
      <c r="B1271" s="107" t="s">
        <v>1607</v>
      </c>
      <c r="C1271" s="817">
        <v>10000</v>
      </c>
      <c r="D1271" s="817"/>
      <c r="E1271" s="184">
        <v>10000</v>
      </c>
      <c r="F1271" s="232"/>
      <c r="G1271" s="232"/>
      <c r="H1271" s="1497">
        <f t="shared" si="38"/>
        <v>0</v>
      </c>
      <c r="I1271" s="1497">
        <f t="shared" si="39"/>
        <v>20000</v>
      </c>
      <c r="J1271" s="1440"/>
      <c r="K1271" s="1490"/>
      <c r="L1271" s="1490"/>
    </row>
    <row r="1272" spans="1:12" ht="37.5">
      <c r="A1272" s="1566"/>
      <c r="B1272" s="107" t="s">
        <v>1608</v>
      </c>
      <c r="C1272" s="817">
        <v>10000</v>
      </c>
      <c r="D1272" s="817"/>
      <c r="E1272" s="184">
        <v>10000</v>
      </c>
      <c r="F1272" s="232"/>
      <c r="G1272" s="232"/>
      <c r="H1272" s="1497">
        <f t="shared" si="38"/>
        <v>0</v>
      </c>
      <c r="I1272" s="1497">
        <f t="shared" si="39"/>
        <v>20000</v>
      </c>
      <c r="J1272" s="1440"/>
      <c r="K1272" s="1490"/>
      <c r="L1272" s="1490"/>
    </row>
    <row r="1273" spans="1:12" ht="37.5">
      <c r="A1273" s="1566"/>
      <c r="B1273" s="107" t="s">
        <v>1609</v>
      </c>
      <c r="C1273" s="817">
        <v>4000</v>
      </c>
      <c r="D1273" s="817">
        <v>4000</v>
      </c>
      <c r="E1273" s="184"/>
      <c r="F1273" s="232"/>
      <c r="G1273" s="232"/>
      <c r="H1273" s="1497">
        <f t="shared" si="38"/>
        <v>0</v>
      </c>
      <c r="I1273" s="1497">
        <f t="shared" si="39"/>
        <v>8000</v>
      </c>
      <c r="J1273" s="1440"/>
      <c r="K1273" s="1490"/>
      <c r="L1273" s="1490"/>
    </row>
    <row r="1274" spans="1:12" ht="37.5">
      <c r="A1274" s="1566"/>
      <c r="B1274" s="107" t="s">
        <v>1610</v>
      </c>
      <c r="C1274" s="817">
        <v>4000</v>
      </c>
      <c r="D1274" s="817">
        <v>4000</v>
      </c>
      <c r="E1274" s="184"/>
      <c r="F1274" s="232"/>
      <c r="G1274" s="232"/>
      <c r="H1274" s="1497">
        <f t="shared" si="38"/>
        <v>0</v>
      </c>
      <c r="I1274" s="1497">
        <f t="shared" si="39"/>
        <v>8000</v>
      </c>
      <c r="J1274" s="1440"/>
      <c r="K1274" s="1490"/>
      <c r="L1274" s="1490"/>
    </row>
    <row r="1275" spans="1:12" ht="56.25">
      <c r="A1275" s="1566"/>
      <c r="B1275" s="107" t="s">
        <v>1611</v>
      </c>
      <c r="C1275" s="817">
        <v>10000</v>
      </c>
      <c r="D1275" s="817"/>
      <c r="E1275" s="184">
        <v>10000</v>
      </c>
      <c r="F1275" s="232"/>
      <c r="G1275" s="232"/>
      <c r="H1275" s="1497">
        <f t="shared" si="38"/>
        <v>0</v>
      </c>
      <c r="I1275" s="1497">
        <f t="shared" si="39"/>
        <v>20000</v>
      </c>
      <c r="J1275" s="1440"/>
      <c r="K1275" s="1490"/>
      <c r="L1275" s="1490"/>
    </row>
    <row r="1276" spans="1:12" hidden="1">
      <c r="A1276" s="1566"/>
      <c r="B1276" s="617"/>
      <c r="C1276" s="633"/>
      <c r="D1276" s="633"/>
      <c r="E1276" s="633"/>
      <c r="F1276" s="232"/>
      <c r="G1276" s="232"/>
      <c r="H1276" s="231">
        <f t="shared" si="38"/>
        <v>0</v>
      </c>
      <c r="I1276" s="231">
        <f t="shared" si="39"/>
        <v>0</v>
      </c>
    </row>
    <row r="1277" spans="1:12" hidden="1">
      <c r="A1277" s="1566"/>
      <c r="B1277" s="107"/>
      <c r="C1277" s="649"/>
      <c r="D1277" s="649"/>
      <c r="E1277" s="256"/>
      <c r="F1277" s="232"/>
      <c r="G1277" s="232"/>
      <c r="H1277" s="231">
        <f t="shared" si="38"/>
        <v>0</v>
      </c>
      <c r="I1277" s="231">
        <f t="shared" si="39"/>
        <v>0</v>
      </c>
    </row>
    <row r="1278" spans="1:12" hidden="1">
      <c r="A1278" s="1566"/>
      <c r="B1278" s="107"/>
      <c r="C1278" s="649"/>
      <c r="D1278" s="649"/>
      <c r="E1278" s="256"/>
      <c r="F1278" s="232"/>
      <c r="G1278" s="232"/>
      <c r="H1278" s="231">
        <f t="shared" si="38"/>
        <v>0</v>
      </c>
      <c r="I1278" s="231">
        <f t="shared" si="39"/>
        <v>0</v>
      </c>
    </row>
    <row r="1279" spans="1:12" hidden="1">
      <c r="A1279" s="1566"/>
      <c r="B1279" s="107"/>
      <c r="C1279" s="649"/>
      <c r="D1279" s="649"/>
      <c r="E1279" s="256"/>
      <c r="F1279" s="232"/>
      <c r="G1279" s="232"/>
      <c r="H1279" s="231">
        <f t="shared" si="38"/>
        <v>0</v>
      </c>
      <c r="I1279" s="231">
        <f t="shared" si="39"/>
        <v>0</v>
      </c>
    </row>
    <row r="1280" spans="1:12" hidden="1">
      <c r="A1280" s="1566"/>
      <c r="B1280" s="107"/>
      <c r="C1280" s="649"/>
      <c r="D1280" s="649"/>
      <c r="E1280" s="256"/>
      <c r="F1280" s="232"/>
      <c r="G1280" s="232"/>
      <c r="H1280" s="231">
        <f t="shared" si="38"/>
        <v>0</v>
      </c>
      <c r="I1280" s="231">
        <f t="shared" si="39"/>
        <v>0</v>
      </c>
    </row>
    <row r="1281" spans="1:9" hidden="1">
      <c r="A1281" s="1566"/>
      <c r="B1281" s="107"/>
      <c r="C1281" s="649"/>
      <c r="D1281" s="649"/>
      <c r="E1281" s="256"/>
      <c r="F1281" s="232"/>
      <c r="G1281" s="232"/>
      <c r="H1281" s="231">
        <f t="shared" si="38"/>
        <v>0</v>
      </c>
      <c r="I1281" s="231">
        <f t="shared" si="39"/>
        <v>0</v>
      </c>
    </row>
    <row r="1282" spans="1:9" hidden="1">
      <c r="A1282" s="1566"/>
      <c r="B1282" s="371"/>
      <c r="C1282" s="844"/>
      <c r="D1282" s="844"/>
      <c r="E1282" s="844"/>
      <c r="F1282" s="232"/>
      <c r="G1282" s="232"/>
      <c r="H1282" s="231">
        <f t="shared" si="38"/>
        <v>0</v>
      </c>
      <c r="I1282" s="231">
        <f t="shared" si="39"/>
        <v>0</v>
      </c>
    </row>
    <row r="1283" spans="1:9" hidden="1">
      <c r="A1283" s="1566"/>
      <c r="B1283" s="371"/>
      <c r="C1283" s="844"/>
      <c r="D1283" s="844"/>
      <c r="E1283" s="844"/>
      <c r="F1283" s="232"/>
      <c r="G1283" s="232"/>
      <c r="H1283" s="231">
        <f t="shared" si="38"/>
        <v>0</v>
      </c>
      <c r="I1283" s="231">
        <f t="shared" si="39"/>
        <v>0</v>
      </c>
    </row>
    <row r="1284" spans="1:9" hidden="1">
      <c r="A1284" s="1566"/>
      <c r="B1284" s="371"/>
      <c r="C1284" s="844"/>
      <c r="D1284" s="844"/>
      <c r="E1284" s="844"/>
      <c r="F1284" s="232"/>
      <c r="G1284" s="232"/>
      <c r="H1284" s="231">
        <f t="shared" si="38"/>
        <v>0</v>
      </c>
      <c r="I1284" s="231">
        <f t="shared" si="39"/>
        <v>0</v>
      </c>
    </row>
    <row r="1285" spans="1:9" s="7" customFormat="1" hidden="1">
      <c r="A1285" s="1558"/>
      <c r="B1285" s="371"/>
      <c r="C1285" s="844"/>
      <c r="D1285" s="867"/>
      <c r="E1285" s="844"/>
      <c r="F1285" s="232"/>
      <c r="G1285" s="232"/>
      <c r="H1285" s="231">
        <f t="shared" si="38"/>
        <v>0</v>
      </c>
      <c r="I1285" s="231">
        <f t="shared" si="39"/>
        <v>0</v>
      </c>
    </row>
    <row r="1286" spans="1:9" s="7" customFormat="1" hidden="1">
      <c r="A1286" s="1558"/>
      <c r="B1286" s="107"/>
      <c r="C1286" s="654"/>
      <c r="D1286" s="654"/>
      <c r="E1286" s="256"/>
      <c r="F1286" s="232"/>
      <c r="G1286" s="232"/>
      <c r="H1286" s="231">
        <f t="shared" si="38"/>
        <v>0</v>
      </c>
      <c r="I1286" s="231">
        <f t="shared" si="39"/>
        <v>0</v>
      </c>
    </row>
    <row r="1287" spans="1:9" s="7" customFormat="1" hidden="1">
      <c r="A1287" s="1558"/>
      <c r="B1287" s="107"/>
      <c r="C1287" s="654"/>
      <c r="D1287" s="654"/>
      <c r="E1287" s="256"/>
      <c r="F1287" s="232"/>
      <c r="G1287" s="232"/>
      <c r="H1287" s="231">
        <f t="shared" si="38"/>
        <v>0</v>
      </c>
      <c r="I1287" s="231">
        <f t="shared" si="39"/>
        <v>0</v>
      </c>
    </row>
    <row r="1288" spans="1:9" s="7" customFormat="1" hidden="1">
      <c r="A1288" s="1558"/>
      <c r="B1288" s="107"/>
      <c r="C1288" s="654"/>
      <c r="D1288" s="654"/>
      <c r="E1288" s="256"/>
      <c r="F1288" s="232"/>
      <c r="G1288" s="232"/>
      <c r="H1288" s="231">
        <f t="shared" si="38"/>
        <v>0</v>
      </c>
      <c r="I1288" s="231">
        <f t="shared" si="39"/>
        <v>0</v>
      </c>
    </row>
    <row r="1289" spans="1:9" s="7" customFormat="1" hidden="1">
      <c r="A1289" s="1558"/>
      <c r="B1289" s="107"/>
      <c r="C1289" s="654"/>
      <c r="D1289" s="654"/>
      <c r="E1289" s="256"/>
      <c r="F1289" s="232"/>
      <c r="G1289" s="232"/>
      <c r="H1289" s="231">
        <f t="shared" ref="H1289:H1352" si="40">E1289+D1289-C1289</f>
        <v>0</v>
      </c>
      <c r="I1289" s="231">
        <f t="shared" ref="I1289:I1352" si="41">SUM(C1289:E1289)</f>
        <v>0</v>
      </c>
    </row>
    <row r="1290" spans="1:9" s="7" customFormat="1" hidden="1">
      <c r="A1290" s="1558"/>
      <c r="B1290" s="107"/>
      <c r="C1290" s="654"/>
      <c r="D1290" s="654"/>
      <c r="E1290" s="256"/>
      <c r="F1290" s="232"/>
      <c r="G1290" s="232"/>
      <c r="H1290" s="231">
        <f t="shared" si="40"/>
        <v>0</v>
      </c>
      <c r="I1290" s="231">
        <f t="shared" si="41"/>
        <v>0</v>
      </c>
    </row>
    <row r="1291" spans="1:9" s="7" customFormat="1" hidden="1">
      <c r="A1291" s="1558"/>
      <c r="B1291" s="107"/>
      <c r="C1291" s="654"/>
      <c r="D1291" s="654"/>
      <c r="E1291" s="256"/>
      <c r="F1291" s="232"/>
      <c r="G1291" s="232"/>
      <c r="H1291" s="231">
        <f t="shared" si="40"/>
        <v>0</v>
      </c>
      <c r="I1291" s="231">
        <f t="shared" si="41"/>
        <v>0</v>
      </c>
    </row>
    <row r="1292" spans="1:9" s="7" customFormat="1" hidden="1">
      <c r="A1292" s="1558"/>
      <c r="B1292" s="107"/>
      <c r="C1292" s="654"/>
      <c r="D1292" s="654"/>
      <c r="E1292" s="256"/>
      <c r="F1292" s="232"/>
      <c r="G1292" s="232"/>
      <c r="H1292" s="231">
        <f t="shared" si="40"/>
        <v>0</v>
      </c>
      <c r="I1292" s="231">
        <f t="shared" si="41"/>
        <v>0</v>
      </c>
    </row>
    <row r="1293" spans="1:9" s="7" customFormat="1" hidden="1">
      <c r="A1293" s="1558"/>
      <c r="B1293" s="107"/>
      <c r="C1293" s="654"/>
      <c r="D1293" s="654"/>
      <c r="E1293" s="256"/>
      <c r="F1293" s="232"/>
      <c r="G1293" s="232"/>
      <c r="H1293" s="231">
        <f t="shared" si="40"/>
        <v>0</v>
      </c>
      <c r="I1293" s="231">
        <f t="shared" si="41"/>
        <v>0</v>
      </c>
    </row>
    <row r="1294" spans="1:9" s="7" customFormat="1" hidden="1">
      <c r="A1294" s="1558"/>
      <c r="B1294" s="107"/>
      <c r="C1294" s="654"/>
      <c r="D1294" s="654"/>
      <c r="E1294" s="256"/>
      <c r="F1294" s="232"/>
      <c r="G1294" s="232"/>
      <c r="H1294" s="231">
        <f t="shared" si="40"/>
        <v>0</v>
      </c>
      <c r="I1294" s="231">
        <f t="shared" si="41"/>
        <v>0</v>
      </c>
    </row>
    <row r="1295" spans="1:9" s="7" customFormat="1" hidden="1">
      <c r="A1295" s="1558"/>
      <c r="B1295" s="107"/>
      <c r="C1295" s="654"/>
      <c r="D1295" s="654"/>
      <c r="E1295" s="256"/>
      <c r="F1295" s="232"/>
      <c r="G1295" s="232"/>
      <c r="H1295" s="231">
        <f t="shared" si="40"/>
        <v>0</v>
      </c>
      <c r="I1295" s="231">
        <f t="shared" si="41"/>
        <v>0</v>
      </c>
    </row>
    <row r="1296" spans="1:9" s="7" customFormat="1" hidden="1">
      <c r="A1296" s="1558"/>
      <c r="B1296" s="107"/>
      <c r="C1296" s="654"/>
      <c r="D1296" s="654"/>
      <c r="E1296" s="256"/>
      <c r="F1296" s="232"/>
      <c r="G1296" s="232"/>
      <c r="H1296" s="231">
        <f t="shared" si="40"/>
        <v>0</v>
      </c>
      <c r="I1296" s="231">
        <f t="shared" si="41"/>
        <v>0</v>
      </c>
    </row>
    <row r="1297" spans="1:9" s="7" customFormat="1" hidden="1">
      <c r="A1297" s="1558"/>
      <c r="B1297" s="107"/>
      <c r="C1297" s="654"/>
      <c r="D1297" s="654"/>
      <c r="E1297" s="256"/>
      <c r="F1297" s="232"/>
      <c r="G1297" s="232"/>
      <c r="H1297" s="231">
        <f t="shared" si="40"/>
        <v>0</v>
      </c>
      <c r="I1297" s="231">
        <f t="shared" si="41"/>
        <v>0</v>
      </c>
    </row>
    <row r="1298" spans="1:9" s="7" customFormat="1" hidden="1">
      <c r="A1298" s="1558"/>
      <c r="B1298" s="107"/>
      <c r="C1298" s="654"/>
      <c r="D1298" s="654"/>
      <c r="E1298" s="256"/>
      <c r="F1298" s="232"/>
      <c r="G1298" s="232"/>
      <c r="H1298" s="231">
        <f t="shared" si="40"/>
        <v>0</v>
      </c>
      <c r="I1298" s="231">
        <f t="shared" si="41"/>
        <v>0</v>
      </c>
    </row>
    <row r="1299" spans="1:9" s="7" customFormat="1" hidden="1">
      <c r="A1299" s="1558"/>
      <c r="B1299" s="107"/>
      <c r="C1299" s="654"/>
      <c r="D1299" s="654"/>
      <c r="E1299" s="256"/>
      <c r="F1299" s="232"/>
      <c r="G1299" s="232"/>
      <c r="H1299" s="231">
        <f t="shared" si="40"/>
        <v>0</v>
      </c>
      <c r="I1299" s="231">
        <f t="shared" si="41"/>
        <v>0</v>
      </c>
    </row>
    <row r="1300" spans="1:9" s="7" customFormat="1" hidden="1">
      <c r="A1300" s="1558"/>
      <c r="B1300" s="107"/>
      <c r="C1300" s="654"/>
      <c r="D1300" s="654"/>
      <c r="E1300" s="256"/>
      <c r="F1300" s="232"/>
      <c r="G1300" s="232"/>
      <c r="H1300" s="231">
        <f t="shared" si="40"/>
        <v>0</v>
      </c>
      <c r="I1300" s="231">
        <f t="shared" si="41"/>
        <v>0</v>
      </c>
    </row>
    <row r="1301" spans="1:9" s="7" customFormat="1" hidden="1">
      <c r="A1301" s="1558"/>
      <c r="B1301" s="107"/>
      <c r="C1301" s="654"/>
      <c r="D1301" s="654"/>
      <c r="E1301" s="256"/>
      <c r="F1301" s="232"/>
      <c r="G1301" s="232"/>
      <c r="H1301" s="231">
        <f t="shared" si="40"/>
        <v>0</v>
      </c>
      <c r="I1301" s="231">
        <f t="shared" si="41"/>
        <v>0</v>
      </c>
    </row>
    <row r="1302" spans="1:9" s="7" customFormat="1" hidden="1">
      <c r="A1302" s="1558"/>
      <c r="B1302" s="107"/>
      <c r="C1302" s="654"/>
      <c r="D1302" s="654"/>
      <c r="E1302" s="256"/>
      <c r="F1302" s="232"/>
      <c r="G1302" s="232"/>
      <c r="H1302" s="231">
        <f t="shared" si="40"/>
        <v>0</v>
      </c>
      <c r="I1302" s="231">
        <f t="shared" si="41"/>
        <v>0</v>
      </c>
    </row>
    <row r="1303" spans="1:9" s="7" customFormat="1" hidden="1">
      <c r="A1303" s="1558"/>
      <c r="B1303" s="107"/>
      <c r="C1303" s="654"/>
      <c r="D1303" s="654"/>
      <c r="E1303" s="256"/>
      <c r="F1303" s="232"/>
      <c r="G1303" s="232"/>
      <c r="H1303" s="231">
        <f t="shared" si="40"/>
        <v>0</v>
      </c>
      <c r="I1303" s="231">
        <f t="shared" si="41"/>
        <v>0</v>
      </c>
    </row>
    <row r="1304" spans="1:9" s="7" customFormat="1" hidden="1">
      <c r="A1304" s="1558"/>
      <c r="B1304" s="107"/>
      <c r="C1304" s="654"/>
      <c r="D1304" s="654"/>
      <c r="E1304" s="256"/>
      <c r="F1304" s="232"/>
      <c r="G1304" s="232"/>
      <c r="H1304" s="231">
        <f t="shared" si="40"/>
        <v>0</v>
      </c>
      <c r="I1304" s="231">
        <f t="shared" si="41"/>
        <v>0</v>
      </c>
    </row>
    <row r="1305" spans="1:9" s="7" customFormat="1" hidden="1">
      <c r="A1305" s="1558"/>
      <c r="B1305" s="107"/>
      <c r="C1305" s="510"/>
      <c r="D1305" s="511"/>
      <c r="E1305" s="510"/>
      <c r="F1305" s="232"/>
      <c r="G1305" s="232"/>
      <c r="H1305" s="231">
        <f t="shared" si="40"/>
        <v>0</v>
      </c>
      <c r="I1305" s="231">
        <f t="shared" si="41"/>
        <v>0</v>
      </c>
    </row>
    <row r="1306" spans="1:9" s="7" customFormat="1" hidden="1">
      <c r="A1306" s="1558"/>
      <c r="B1306" s="343"/>
      <c r="C1306" s="666"/>
      <c r="D1306" s="666"/>
      <c r="E1306" s="667"/>
      <c r="F1306" s="232"/>
      <c r="G1306" s="232"/>
      <c r="H1306" s="231">
        <f t="shared" si="40"/>
        <v>0</v>
      </c>
      <c r="I1306" s="231">
        <f t="shared" si="41"/>
        <v>0</v>
      </c>
    </row>
    <row r="1307" spans="1:9" s="85" customFormat="1" hidden="1">
      <c r="A1307" s="1558"/>
      <c r="B1307" s="343"/>
      <c r="C1307" s="666"/>
      <c r="D1307" s="666"/>
      <c r="E1307" s="667"/>
      <c r="F1307" s="239"/>
      <c r="G1307" s="239"/>
      <c r="H1307" s="231">
        <f t="shared" si="40"/>
        <v>0</v>
      </c>
      <c r="I1307" s="231">
        <f t="shared" si="41"/>
        <v>0</v>
      </c>
    </row>
    <row r="1308" spans="1:9" s="7" customFormat="1" hidden="1">
      <c r="A1308" s="1558"/>
      <c r="B1308" s="343"/>
      <c r="C1308" s="666"/>
      <c r="D1308" s="666"/>
      <c r="E1308" s="667"/>
      <c r="F1308" s="232"/>
      <c r="G1308" s="232"/>
      <c r="H1308" s="231">
        <f t="shared" si="40"/>
        <v>0</v>
      </c>
      <c r="I1308" s="231">
        <f t="shared" si="41"/>
        <v>0</v>
      </c>
    </row>
    <row r="1309" spans="1:9" s="7" customFormat="1" hidden="1">
      <c r="A1309" s="1558"/>
      <c r="B1309" s="343"/>
      <c r="C1309" s="666"/>
      <c r="D1309" s="666"/>
      <c r="E1309" s="667"/>
      <c r="F1309" s="232"/>
      <c r="G1309" s="232"/>
      <c r="H1309" s="231">
        <f t="shared" si="40"/>
        <v>0</v>
      </c>
      <c r="I1309" s="231">
        <f t="shared" si="41"/>
        <v>0</v>
      </c>
    </row>
    <row r="1310" spans="1:9" s="7" customFormat="1" hidden="1">
      <c r="A1310" s="1558"/>
      <c r="B1310" s="343"/>
      <c r="C1310" s="666"/>
      <c r="D1310" s="666"/>
      <c r="E1310" s="667"/>
      <c r="F1310" s="232"/>
      <c r="G1310" s="232"/>
      <c r="H1310" s="231">
        <f t="shared" si="40"/>
        <v>0</v>
      </c>
      <c r="I1310" s="231">
        <f t="shared" si="41"/>
        <v>0</v>
      </c>
    </row>
    <row r="1311" spans="1:9" s="7" customFormat="1" hidden="1">
      <c r="A1311" s="1558"/>
      <c r="B1311" s="343"/>
      <c r="C1311" s="666"/>
      <c r="D1311" s="666"/>
      <c r="E1311" s="667"/>
      <c r="F1311" s="232"/>
      <c r="G1311" s="232"/>
      <c r="H1311" s="231">
        <f t="shared" si="40"/>
        <v>0</v>
      </c>
      <c r="I1311" s="231">
        <f t="shared" si="41"/>
        <v>0</v>
      </c>
    </row>
    <row r="1312" spans="1:9" s="7" customFormat="1" hidden="1">
      <c r="A1312" s="1558"/>
      <c r="B1312" s="343"/>
      <c r="C1312" s="666"/>
      <c r="D1312" s="666"/>
      <c r="E1312" s="667"/>
      <c r="F1312" s="232"/>
      <c r="G1312" s="232"/>
      <c r="H1312" s="231">
        <f t="shared" si="40"/>
        <v>0</v>
      </c>
      <c r="I1312" s="231">
        <f t="shared" si="41"/>
        <v>0</v>
      </c>
    </row>
    <row r="1313" spans="1:9" s="7" customFormat="1" hidden="1">
      <c r="A1313" s="1558"/>
      <c r="B1313" s="343"/>
      <c r="C1313" s="666"/>
      <c r="D1313" s="666"/>
      <c r="E1313" s="667"/>
      <c r="F1313" s="232"/>
      <c r="G1313" s="232"/>
      <c r="H1313" s="231">
        <f t="shared" si="40"/>
        <v>0</v>
      </c>
      <c r="I1313" s="231">
        <f t="shared" si="41"/>
        <v>0</v>
      </c>
    </row>
    <row r="1314" spans="1:9" s="7" customFormat="1" hidden="1">
      <c r="A1314" s="1558"/>
      <c r="B1314" s="352"/>
      <c r="C1314" s="670"/>
      <c r="D1314" s="670"/>
      <c r="E1314" s="671"/>
      <c r="F1314" s="232"/>
      <c r="G1314" s="232"/>
      <c r="H1314" s="231">
        <f t="shared" si="40"/>
        <v>0</v>
      </c>
      <c r="I1314" s="231">
        <f t="shared" si="41"/>
        <v>0</v>
      </c>
    </row>
    <row r="1315" spans="1:9" s="7" customFormat="1" hidden="1">
      <c r="A1315" s="1558"/>
      <c r="B1315" s="352"/>
      <c r="C1315" s="670"/>
      <c r="D1315" s="670"/>
      <c r="E1315" s="671"/>
      <c r="F1315" s="232"/>
      <c r="G1315" s="232"/>
      <c r="H1315" s="231">
        <f t="shared" si="40"/>
        <v>0</v>
      </c>
      <c r="I1315" s="231">
        <f t="shared" si="41"/>
        <v>0</v>
      </c>
    </row>
    <row r="1316" spans="1:9" s="7" customFormat="1" hidden="1">
      <c r="A1316" s="1558"/>
      <c r="B1316" s="352"/>
      <c r="C1316" s="670"/>
      <c r="D1316" s="670"/>
      <c r="E1316" s="671"/>
      <c r="F1316" s="232"/>
      <c r="G1316" s="232"/>
      <c r="H1316" s="231">
        <f t="shared" si="40"/>
        <v>0</v>
      </c>
      <c r="I1316" s="231">
        <f t="shared" si="41"/>
        <v>0</v>
      </c>
    </row>
    <row r="1317" spans="1:9" s="7" customFormat="1" hidden="1">
      <c r="A1317" s="1558"/>
      <c r="B1317" s="352"/>
      <c r="C1317" s="670"/>
      <c r="D1317" s="670"/>
      <c r="E1317" s="671"/>
      <c r="F1317" s="232"/>
      <c r="G1317" s="232"/>
      <c r="H1317" s="231">
        <f t="shared" si="40"/>
        <v>0</v>
      </c>
      <c r="I1317" s="231">
        <f t="shared" si="41"/>
        <v>0</v>
      </c>
    </row>
    <row r="1318" spans="1:9" s="7" customFormat="1" hidden="1">
      <c r="A1318" s="1558"/>
      <c r="B1318" s="352"/>
      <c r="C1318" s="670"/>
      <c r="D1318" s="670"/>
      <c r="E1318" s="671"/>
      <c r="F1318" s="232"/>
      <c r="G1318" s="232"/>
      <c r="H1318" s="231">
        <f t="shared" si="40"/>
        <v>0</v>
      </c>
      <c r="I1318" s="231">
        <f t="shared" si="41"/>
        <v>0</v>
      </c>
    </row>
    <row r="1319" spans="1:9" s="7" customFormat="1" hidden="1">
      <c r="A1319" s="1554"/>
      <c r="B1319" s="352"/>
      <c r="C1319" s="670"/>
      <c r="D1319" s="670"/>
      <c r="E1319" s="671"/>
      <c r="F1319" s="232"/>
      <c r="G1319" s="232"/>
      <c r="H1319" s="231">
        <f t="shared" si="40"/>
        <v>0</v>
      </c>
      <c r="I1319" s="231">
        <f t="shared" si="41"/>
        <v>0</v>
      </c>
    </row>
    <row r="1320" spans="1:9" s="7" customFormat="1" hidden="1">
      <c r="A1320" s="1554"/>
      <c r="B1320" s="352"/>
      <c r="C1320" s="670"/>
      <c r="D1320" s="670"/>
      <c r="E1320" s="671"/>
      <c r="F1320" s="232"/>
      <c r="G1320" s="232"/>
      <c r="H1320" s="231">
        <f t="shared" si="40"/>
        <v>0</v>
      </c>
      <c r="I1320" s="231">
        <f t="shared" si="41"/>
        <v>0</v>
      </c>
    </row>
    <row r="1321" spans="1:9" s="7" customFormat="1" hidden="1">
      <c r="A1321" s="1554"/>
      <c r="B1321" s="352"/>
      <c r="C1321" s="670"/>
      <c r="D1321" s="670"/>
      <c r="E1321" s="671"/>
      <c r="F1321" s="232"/>
      <c r="G1321" s="232"/>
      <c r="H1321" s="231">
        <f t="shared" si="40"/>
        <v>0</v>
      </c>
      <c r="I1321" s="231">
        <f t="shared" si="41"/>
        <v>0</v>
      </c>
    </row>
    <row r="1322" spans="1:9" s="7" customFormat="1" hidden="1">
      <c r="A1322" s="1554"/>
      <c r="B1322" s="371"/>
      <c r="C1322" s="664"/>
      <c r="D1322" s="664"/>
      <c r="E1322" s="665"/>
      <c r="F1322" s="232"/>
      <c r="G1322" s="232"/>
      <c r="H1322" s="231">
        <f t="shared" si="40"/>
        <v>0</v>
      </c>
      <c r="I1322" s="231">
        <f t="shared" si="41"/>
        <v>0</v>
      </c>
    </row>
    <row r="1323" spans="1:9" s="7" customFormat="1" hidden="1">
      <c r="A1323" s="1554"/>
      <c r="B1323" s="352"/>
      <c r="C1323" s="670"/>
      <c r="D1323" s="670"/>
      <c r="E1323" s="671"/>
      <c r="F1323" s="232"/>
      <c r="G1323" s="232"/>
      <c r="H1323" s="231">
        <f t="shared" si="40"/>
        <v>0</v>
      </c>
      <c r="I1323" s="231">
        <f t="shared" si="41"/>
        <v>0</v>
      </c>
    </row>
    <row r="1324" spans="1:9" s="7" customFormat="1" hidden="1">
      <c r="A1324" s="1554"/>
      <c r="B1324" s="352"/>
      <c r="C1324" s="670"/>
      <c r="D1324" s="670"/>
      <c r="E1324" s="671"/>
      <c r="F1324" s="232"/>
      <c r="G1324" s="232"/>
      <c r="H1324" s="231">
        <f t="shared" si="40"/>
        <v>0</v>
      </c>
      <c r="I1324" s="231">
        <f t="shared" si="41"/>
        <v>0</v>
      </c>
    </row>
    <row r="1325" spans="1:9" s="7" customFormat="1" hidden="1">
      <c r="A1325" s="1554"/>
      <c r="B1325" s="352"/>
      <c r="C1325" s="670"/>
      <c r="D1325" s="670"/>
      <c r="E1325" s="671"/>
      <c r="F1325" s="232"/>
      <c r="G1325" s="232"/>
      <c r="H1325" s="231">
        <f t="shared" si="40"/>
        <v>0</v>
      </c>
      <c r="I1325" s="231">
        <f t="shared" si="41"/>
        <v>0</v>
      </c>
    </row>
    <row r="1326" spans="1:9" s="7" customFormat="1" hidden="1">
      <c r="A1326" s="1554"/>
      <c r="B1326" s="352"/>
      <c r="C1326" s="670"/>
      <c r="D1326" s="670"/>
      <c r="E1326" s="671"/>
      <c r="F1326" s="232"/>
      <c r="G1326" s="232"/>
      <c r="H1326" s="231">
        <f t="shared" si="40"/>
        <v>0</v>
      </c>
      <c r="I1326" s="231">
        <f t="shared" si="41"/>
        <v>0</v>
      </c>
    </row>
    <row r="1327" spans="1:9" s="7" customFormat="1" hidden="1">
      <c r="A1327" s="1554"/>
      <c r="B1327" s="352"/>
      <c r="C1327" s="670"/>
      <c r="D1327" s="670"/>
      <c r="E1327" s="671"/>
      <c r="F1327" s="232"/>
      <c r="G1327" s="232"/>
      <c r="H1327" s="231">
        <f t="shared" si="40"/>
        <v>0</v>
      </c>
      <c r="I1327" s="231">
        <f t="shared" si="41"/>
        <v>0</v>
      </c>
    </row>
    <row r="1328" spans="1:9" s="7" customFormat="1" hidden="1">
      <c r="A1328" s="1554"/>
      <c r="B1328" s="359"/>
      <c r="C1328" s="660"/>
      <c r="D1328" s="660"/>
      <c r="E1328" s="660"/>
      <c r="F1328" s="232"/>
      <c r="G1328" s="232"/>
      <c r="H1328" s="231">
        <f t="shared" si="40"/>
        <v>0</v>
      </c>
      <c r="I1328" s="231">
        <f t="shared" si="41"/>
        <v>0</v>
      </c>
    </row>
    <row r="1329" spans="1:9" s="7" customFormat="1" hidden="1">
      <c r="A1329" s="1554"/>
      <c r="B1329" s="359"/>
      <c r="C1329" s="694"/>
      <c r="D1329" s="660"/>
      <c r="E1329" s="660"/>
      <c r="F1329" s="232"/>
      <c r="G1329" s="232"/>
      <c r="H1329" s="231">
        <f t="shared" si="40"/>
        <v>0</v>
      </c>
      <c r="I1329" s="231">
        <f t="shared" si="41"/>
        <v>0</v>
      </c>
    </row>
    <row r="1330" spans="1:9" s="7" customFormat="1" hidden="1">
      <c r="A1330" s="1554"/>
      <c r="B1330" s="371"/>
      <c r="C1330" s="664"/>
      <c r="D1330" s="664"/>
      <c r="E1330" s="665"/>
      <c r="F1330" s="232"/>
      <c r="G1330" s="232"/>
      <c r="H1330" s="231">
        <f t="shared" si="40"/>
        <v>0</v>
      </c>
      <c r="I1330" s="231">
        <f t="shared" si="41"/>
        <v>0</v>
      </c>
    </row>
    <row r="1331" spans="1:9" s="7" customFormat="1" hidden="1">
      <c r="A1331" s="1554"/>
      <c r="B1331" s="385"/>
      <c r="C1331" s="638"/>
      <c r="D1331" s="638"/>
      <c r="E1331" s="639"/>
      <c r="F1331" s="232"/>
      <c r="G1331" s="232"/>
      <c r="H1331" s="231">
        <f t="shared" si="40"/>
        <v>0</v>
      </c>
      <c r="I1331" s="231">
        <f t="shared" si="41"/>
        <v>0</v>
      </c>
    </row>
    <row r="1332" spans="1:9" s="7" customFormat="1" hidden="1">
      <c r="A1332" s="1554"/>
      <c r="B1332" s="385"/>
      <c r="C1332" s="638"/>
      <c r="D1332" s="638"/>
      <c r="E1332" s="639"/>
      <c r="F1332" s="232"/>
      <c r="G1332" s="232"/>
      <c r="H1332" s="231">
        <f t="shared" si="40"/>
        <v>0</v>
      </c>
      <c r="I1332" s="231">
        <f t="shared" si="41"/>
        <v>0</v>
      </c>
    </row>
    <row r="1333" spans="1:9" s="7" customFormat="1" hidden="1">
      <c r="A1333" s="1554"/>
      <c r="B1333" s="385"/>
      <c r="C1333" s="638"/>
      <c r="D1333" s="638"/>
      <c r="E1333" s="639"/>
      <c r="F1333" s="232"/>
      <c r="G1333" s="232"/>
      <c r="H1333" s="231">
        <f t="shared" si="40"/>
        <v>0</v>
      </c>
      <c r="I1333" s="231">
        <f t="shared" si="41"/>
        <v>0</v>
      </c>
    </row>
    <row r="1334" spans="1:9" s="7" customFormat="1" hidden="1">
      <c r="A1334" s="1554"/>
      <c r="B1334" s="385"/>
      <c r="C1334" s="638"/>
      <c r="D1334" s="638"/>
      <c r="E1334" s="639"/>
      <c r="F1334" s="232"/>
      <c r="G1334" s="232"/>
      <c r="H1334" s="231">
        <f t="shared" si="40"/>
        <v>0</v>
      </c>
      <c r="I1334" s="231">
        <f t="shared" si="41"/>
        <v>0</v>
      </c>
    </row>
    <row r="1335" spans="1:9" s="7" customFormat="1" hidden="1">
      <c r="A1335" s="1554"/>
      <c r="B1335" s="385"/>
      <c r="C1335" s="638"/>
      <c r="D1335" s="638"/>
      <c r="E1335" s="639"/>
      <c r="F1335" s="232"/>
      <c r="G1335" s="232"/>
      <c r="H1335" s="231">
        <f t="shared" si="40"/>
        <v>0</v>
      </c>
      <c r="I1335" s="231">
        <f t="shared" si="41"/>
        <v>0</v>
      </c>
    </row>
    <row r="1336" spans="1:9" s="7" customFormat="1" hidden="1">
      <c r="A1336" s="1554"/>
      <c r="B1336" s="385"/>
      <c r="C1336" s="638"/>
      <c r="D1336" s="638"/>
      <c r="E1336" s="639"/>
      <c r="F1336" s="232"/>
      <c r="G1336" s="232"/>
      <c r="H1336" s="231">
        <f t="shared" si="40"/>
        <v>0</v>
      </c>
      <c r="I1336" s="231">
        <f t="shared" si="41"/>
        <v>0</v>
      </c>
    </row>
    <row r="1337" spans="1:9" s="7" customFormat="1" hidden="1">
      <c r="A1337" s="1554"/>
      <c r="B1337" s="385"/>
      <c r="C1337" s="638"/>
      <c r="D1337" s="638"/>
      <c r="E1337" s="639"/>
      <c r="F1337" s="232"/>
      <c r="G1337" s="232"/>
      <c r="H1337" s="231">
        <f t="shared" si="40"/>
        <v>0</v>
      </c>
      <c r="I1337" s="231">
        <f t="shared" si="41"/>
        <v>0</v>
      </c>
    </row>
    <row r="1338" spans="1:9" s="7" customFormat="1" hidden="1">
      <c r="A1338" s="1554"/>
      <c r="B1338" s="385"/>
      <c r="C1338" s="638"/>
      <c r="D1338" s="638"/>
      <c r="E1338" s="639"/>
      <c r="F1338" s="232"/>
      <c r="G1338" s="232"/>
      <c r="H1338" s="231">
        <f t="shared" si="40"/>
        <v>0</v>
      </c>
      <c r="I1338" s="231">
        <f t="shared" si="41"/>
        <v>0</v>
      </c>
    </row>
    <row r="1339" spans="1:9" s="7" customFormat="1" hidden="1">
      <c r="A1339" s="1554"/>
      <c r="B1339" s="385"/>
      <c r="C1339" s="638"/>
      <c r="D1339" s="638"/>
      <c r="E1339" s="639"/>
      <c r="F1339" s="232"/>
      <c r="G1339" s="232"/>
      <c r="H1339" s="231">
        <f t="shared" si="40"/>
        <v>0</v>
      </c>
      <c r="I1339" s="231">
        <f t="shared" si="41"/>
        <v>0</v>
      </c>
    </row>
    <row r="1340" spans="1:9" s="7" customFormat="1" hidden="1">
      <c r="A1340" s="1554"/>
      <c r="B1340" s="385"/>
      <c r="C1340" s="638"/>
      <c r="D1340" s="638"/>
      <c r="E1340" s="639"/>
      <c r="F1340" s="232"/>
      <c r="G1340" s="232"/>
      <c r="H1340" s="231">
        <f t="shared" si="40"/>
        <v>0</v>
      </c>
      <c r="I1340" s="231">
        <f t="shared" si="41"/>
        <v>0</v>
      </c>
    </row>
    <row r="1341" spans="1:9" s="7" customFormat="1" hidden="1">
      <c r="A1341" s="1554"/>
      <c r="B1341" s="385"/>
      <c r="C1341" s="638"/>
      <c r="D1341" s="638"/>
      <c r="E1341" s="639"/>
      <c r="F1341" s="232"/>
      <c r="G1341" s="232"/>
      <c r="H1341" s="231">
        <f t="shared" si="40"/>
        <v>0</v>
      </c>
      <c r="I1341" s="231">
        <f t="shared" si="41"/>
        <v>0</v>
      </c>
    </row>
    <row r="1342" spans="1:9" s="7" customFormat="1" hidden="1">
      <c r="A1342" s="1554"/>
      <c r="B1342" s="385"/>
      <c r="C1342" s="638"/>
      <c r="D1342" s="638"/>
      <c r="E1342" s="639"/>
      <c r="F1342" s="232"/>
      <c r="G1342" s="232"/>
      <c r="H1342" s="231">
        <f t="shared" si="40"/>
        <v>0</v>
      </c>
      <c r="I1342" s="231">
        <f t="shared" si="41"/>
        <v>0</v>
      </c>
    </row>
    <row r="1343" spans="1:9" s="7" customFormat="1" hidden="1">
      <c r="A1343" s="1554"/>
      <c r="B1343" s="385"/>
      <c r="C1343" s="638"/>
      <c r="D1343" s="638"/>
      <c r="E1343" s="639"/>
      <c r="F1343" s="232"/>
      <c r="G1343" s="232"/>
      <c r="H1343" s="231">
        <f t="shared" si="40"/>
        <v>0</v>
      </c>
      <c r="I1343" s="231">
        <f t="shared" si="41"/>
        <v>0</v>
      </c>
    </row>
    <row r="1344" spans="1:9" s="7" customFormat="1" hidden="1">
      <c r="A1344" s="1554"/>
      <c r="B1344" s="385"/>
      <c r="C1344" s="638"/>
      <c r="D1344" s="638"/>
      <c r="E1344" s="639"/>
      <c r="F1344" s="232"/>
      <c r="G1344" s="232"/>
      <c r="H1344" s="231">
        <f t="shared" si="40"/>
        <v>0</v>
      </c>
      <c r="I1344" s="231">
        <f t="shared" si="41"/>
        <v>0</v>
      </c>
    </row>
    <row r="1345" spans="1:9" s="7" customFormat="1" hidden="1">
      <c r="A1345" s="1554"/>
      <c r="B1345" s="390"/>
      <c r="C1345" s="651"/>
      <c r="D1345" s="692"/>
      <c r="E1345" s="692"/>
      <c r="F1345" s="232"/>
      <c r="G1345" s="232"/>
      <c r="H1345" s="231">
        <f t="shared" si="40"/>
        <v>0</v>
      </c>
      <c r="I1345" s="231">
        <f t="shared" si="41"/>
        <v>0</v>
      </c>
    </row>
    <row r="1346" spans="1:9" s="7" customFormat="1" ht="18" hidden="1" customHeight="1">
      <c r="A1346" s="1554"/>
      <c r="B1346" s="107"/>
      <c r="C1346" s="654"/>
      <c r="D1346" s="654"/>
      <c r="E1346" s="255"/>
      <c r="F1346" s="232"/>
      <c r="G1346" s="232"/>
      <c r="H1346" s="231">
        <f t="shared" si="40"/>
        <v>0</v>
      </c>
      <c r="I1346" s="231">
        <f t="shared" si="41"/>
        <v>0</v>
      </c>
    </row>
    <row r="1347" spans="1:9" s="7" customFormat="1" ht="18" hidden="1" customHeight="1">
      <c r="A1347" s="1554"/>
      <c r="B1347" s="107"/>
      <c r="C1347" s="654"/>
      <c r="D1347" s="654"/>
      <c r="E1347" s="255"/>
      <c r="F1347" s="232"/>
      <c r="G1347" s="232"/>
      <c r="H1347" s="231">
        <f t="shared" si="40"/>
        <v>0</v>
      </c>
      <c r="I1347" s="231">
        <f t="shared" si="41"/>
        <v>0</v>
      </c>
    </row>
    <row r="1348" spans="1:9" s="7" customFormat="1" ht="18" hidden="1" customHeight="1">
      <c r="A1348" s="1554"/>
      <c r="B1348" s="107"/>
      <c r="C1348" s="654"/>
      <c r="D1348" s="654"/>
      <c r="E1348" s="255"/>
      <c r="F1348" s="232"/>
      <c r="G1348" s="232"/>
      <c r="H1348" s="231">
        <f t="shared" si="40"/>
        <v>0</v>
      </c>
      <c r="I1348" s="231">
        <f t="shared" si="41"/>
        <v>0</v>
      </c>
    </row>
    <row r="1349" spans="1:9" s="7" customFormat="1" ht="18" hidden="1" customHeight="1">
      <c r="A1349" s="1554"/>
      <c r="B1349" s="107"/>
      <c r="C1349" s="654"/>
      <c r="D1349" s="654"/>
      <c r="E1349" s="255"/>
      <c r="F1349" s="232"/>
      <c r="G1349" s="232"/>
      <c r="H1349" s="231">
        <f t="shared" si="40"/>
        <v>0</v>
      </c>
      <c r="I1349" s="231">
        <f t="shared" si="41"/>
        <v>0</v>
      </c>
    </row>
    <row r="1350" spans="1:9" s="7" customFormat="1" ht="18" hidden="1" customHeight="1">
      <c r="A1350" s="1554"/>
      <c r="B1350" s="107"/>
      <c r="C1350" s="654"/>
      <c r="D1350" s="654"/>
      <c r="E1350" s="255"/>
      <c r="F1350" s="232"/>
      <c r="G1350" s="232"/>
      <c r="H1350" s="231">
        <f t="shared" si="40"/>
        <v>0</v>
      </c>
      <c r="I1350" s="231">
        <f t="shared" si="41"/>
        <v>0</v>
      </c>
    </row>
    <row r="1351" spans="1:9" s="7" customFormat="1" ht="18" hidden="1" customHeight="1">
      <c r="A1351" s="1554"/>
      <c r="B1351" s="107"/>
      <c r="C1351" s="654"/>
      <c r="D1351" s="654"/>
      <c r="E1351" s="255"/>
      <c r="F1351" s="232"/>
      <c r="G1351" s="232"/>
      <c r="H1351" s="231">
        <f t="shared" si="40"/>
        <v>0</v>
      </c>
      <c r="I1351" s="231">
        <f t="shared" si="41"/>
        <v>0</v>
      </c>
    </row>
    <row r="1352" spans="1:9" s="120" customFormat="1" ht="18" hidden="1" customHeight="1">
      <c r="A1352" s="1554"/>
      <c r="B1352" s="119"/>
      <c r="C1352" s="705"/>
      <c r="D1352" s="705"/>
      <c r="E1352" s="668"/>
      <c r="F1352" s="238"/>
      <c r="G1352" s="238"/>
      <c r="H1352" s="231">
        <f t="shared" si="40"/>
        <v>0</v>
      </c>
      <c r="I1352" s="231">
        <f t="shared" si="41"/>
        <v>0</v>
      </c>
    </row>
    <row r="1353" spans="1:9" s="120" customFormat="1" ht="18" hidden="1" customHeight="1">
      <c r="A1353" s="1554"/>
      <c r="B1353" s="119"/>
      <c r="C1353" s="705"/>
      <c r="D1353" s="705"/>
      <c r="E1353" s="668"/>
      <c r="F1353" s="238"/>
      <c r="G1353" s="238"/>
      <c r="H1353" s="231">
        <f t="shared" ref="H1353:H1416" si="42">E1353+D1353-C1353</f>
        <v>0</v>
      </c>
      <c r="I1353" s="231">
        <f t="shared" ref="I1353:I1416" si="43">SUM(C1353:E1353)</f>
        <v>0</v>
      </c>
    </row>
    <row r="1354" spans="1:9" s="7" customFormat="1" ht="18" hidden="1" customHeight="1">
      <c r="A1354" s="1554"/>
      <c r="B1354" s="107"/>
      <c r="C1354" s="654"/>
      <c r="D1354" s="654"/>
      <c r="E1354" s="256"/>
      <c r="F1354" s="232"/>
      <c r="G1354" s="232"/>
      <c r="H1354" s="231">
        <f t="shared" si="42"/>
        <v>0</v>
      </c>
      <c r="I1354" s="231">
        <f t="shared" si="43"/>
        <v>0</v>
      </c>
    </row>
    <row r="1355" spans="1:9" s="7" customFormat="1" ht="18" hidden="1" customHeight="1">
      <c r="A1355" s="1554"/>
      <c r="B1355" s="107"/>
      <c r="C1355" s="654"/>
      <c r="D1355" s="654"/>
      <c r="E1355" s="256"/>
      <c r="F1355" s="232"/>
      <c r="G1355" s="232"/>
      <c r="H1355" s="231">
        <f t="shared" si="42"/>
        <v>0</v>
      </c>
      <c r="I1355" s="231">
        <f t="shared" si="43"/>
        <v>0</v>
      </c>
    </row>
    <row r="1356" spans="1:9" s="7" customFormat="1" ht="18" hidden="1" customHeight="1">
      <c r="A1356" s="1554"/>
      <c r="B1356" s="107"/>
      <c r="C1356" s="654"/>
      <c r="D1356" s="654"/>
      <c r="E1356" s="256"/>
      <c r="F1356" s="232"/>
      <c r="G1356" s="232"/>
      <c r="H1356" s="231">
        <f t="shared" si="42"/>
        <v>0</v>
      </c>
      <c r="I1356" s="231">
        <f t="shared" si="43"/>
        <v>0</v>
      </c>
    </row>
    <row r="1357" spans="1:9" s="7" customFormat="1" ht="18" hidden="1" customHeight="1">
      <c r="A1357" s="1554"/>
      <c r="B1357" s="107"/>
      <c r="C1357" s="654"/>
      <c r="D1357" s="654"/>
      <c r="E1357" s="256"/>
      <c r="F1357" s="232"/>
      <c r="G1357" s="232"/>
      <c r="H1357" s="231">
        <f t="shared" si="42"/>
        <v>0</v>
      </c>
      <c r="I1357" s="231">
        <f t="shared" si="43"/>
        <v>0</v>
      </c>
    </row>
    <row r="1358" spans="1:9" s="7" customFormat="1" ht="18" hidden="1" customHeight="1">
      <c r="A1358" s="1554"/>
      <c r="B1358" s="107"/>
      <c r="C1358" s="654"/>
      <c r="D1358" s="654"/>
      <c r="E1358" s="256"/>
      <c r="F1358" s="232"/>
      <c r="G1358" s="232"/>
      <c r="H1358" s="231">
        <f t="shared" si="42"/>
        <v>0</v>
      </c>
      <c r="I1358" s="231">
        <f t="shared" si="43"/>
        <v>0</v>
      </c>
    </row>
    <row r="1359" spans="1:9" s="7" customFormat="1" ht="18" hidden="1" customHeight="1">
      <c r="A1359" s="1554"/>
      <c r="B1359" s="107"/>
      <c r="C1359" s="654"/>
      <c r="D1359" s="654"/>
      <c r="E1359" s="256"/>
      <c r="F1359" s="232"/>
      <c r="G1359" s="232"/>
      <c r="H1359" s="231">
        <f t="shared" si="42"/>
        <v>0</v>
      </c>
      <c r="I1359" s="231">
        <f t="shared" si="43"/>
        <v>0</v>
      </c>
    </row>
    <row r="1360" spans="1:9" s="7" customFormat="1" ht="18" hidden="1" customHeight="1">
      <c r="A1360" s="1554"/>
      <c r="B1360" s="107"/>
      <c r="C1360" s="654"/>
      <c r="D1360" s="654"/>
      <c r="E1360" s="256"/>
      <c r="F1360" s="232"/>
      <c r="G1360" s="232"/>
      <c r="H1360" s="231">
        <f t="shared" si="42"/>
        <v>0</v>
      </c>
      <c r="I1360" s="231">
        <f t="shared" si="43"/>
        <v>0</v>
      </c>
    </row>
    <row r="1361" spans="1:9" s="7" customFormat="1" ht="18" hidden="1" customHeight="1">
      <c r="A1361" s="1554"/>
      <c r="B1361" s="107"/>
      <c r="C1361" s="654"/>
      <c r="D1361" s="654"/>
      <c r="E1361" s="256"/>
      <c r="F1361" s="232"/>
      <c r="G1361" s="232"/>
      <c r="H1361" s="231">
        <f t="shared" si="42"/>
        <v>0</v>
      </c>
      <c r="I1361" s="231">
        <f t="shared" si="43"/>
        <v>0</v>
      </c>
    </row>
    <row r="1362" spans="1:9" s="7" customFormat="1" ht="18" hidden="1" customHeight="1">
      <c r="A1362" s="1554"/>
      <c r="B1362" s="107"/>
      <c r="C1362" s="654"/>
      <c r="D1362" s="654"/>
      <c r="E1362" s="256"/>
      <c r="F1362" s="232"/>
      <c r="G1362" s="232"/>
      <c r="H1362" s="231">
        <f t="shared" si="42"/>
        <v>0</v>
      </c>
      <c r="I1362" s="231">
        <f t="shared" si="43"/>
        <v>0</v>
      </c>
    </row>
    <row r="1363" spans="1:9" s="7" customFormat="1" ht="18" hidden="1" customHeight="1">
      <c r="A1363" s="1554"/>
      <c r="B1363" s="107"/>
      <c r="C1363" s="654"/>
      <c r="D1363" s="654"/>
      <c r="E1363" s="256"/>
      <c r="F1363" s="232"/>
      <c r="G1363" s="232"/>
      <c r="H1363" s="231">
        <f t="shared" si="42"/>
        <v>0</v>
      </c>
      <c r="I1363" s="231">
        <f t="shared" si="43"/>
        <v>0</v>
      </c>
    </row>
    <row r="1364" spans="1:9" s="7" customFormat="1" ht="18" hidden="1" customHeight="1">
      <c r="A1364" s="1554"/>
      <c r="B1364" s="107"/>
      <c r="C1364" s="654"/>
      <c r="D1364" s="654"/>
      <c r="E1364" s="256"/>
      <c r="F1364" s="232"/>
      <c r="G1364" s="232"/>
      <c r="H1364" s="231">
        <f t="shared" si="42"/>
        <v>0</v>
      </c>
      <c r="I1364" s="231">
        <f t="shared" si="43"/>
        <v>0</v>
      </c>
    </row>
    <row r="1365" spans="1:9" s="7" customFormat="1" ht="18" hidden="1" customHeight="1">
      <c r="A1365" s="1554"/>
      <c r="B1365" s="107"/>
      <c r="C1365" s="654"/>
      <c r="D1365" s="654"/>
      <c r="E1365" s="256"/>
      <c r="F1365" s="232"/>
      <c r="G1365" s="232"/>
      <c r="H1365" s="231">
        <f t="shared" si="42"/>
        <v>0</v>
      </c>
      <c r="I1365" s="231">
        <f t="shared" si="43"/>
        <v>0</v>
      </c>
    </row>
    <row r="1366" spans="1:9" s="7" customFormat="1" ht="18" hidden="1" customHeight="1">
      <c r="A1366" s="1554"/>
      <c r="B1366" s="107"/>
      <c r="C1366" s="654"/>
      <c r="D1366" s="654"/>
      <c r="E1366" s="256"/>
      <c r="F1366" s="232"/>
      <c r="G1366" s="232"/>
      <c r="H1366" s="231">
        <f t="shared" si="42"/>
        <v>0</v>
      </c>
      <c r="I1366" s="231">
        <f t="shared" si="43"/>
        <v>0</v>
      </c>
    </row>
    <row r="1367" spans="1:9" s="7" customFormat="1" ht="18" hidden="1" customHeight="1">
      <c r="A1367" s="1554"/>
      <c r="B1367" s="107"/>
      <c r="C1367" s="654"/>
      <c r="D1367" s="654"/>
      <c r="E1367" s="256"/>
      <c r="F1367" s="232"/>
      <c r="G1367" s="232"/>
      <c r="H1367" s="231">
        <f t="shared" si="42"/>
        <v>0</v>
      </c>
      <c r="I1367" s="231">
        <f t="shared" si="43"/>
        <v>0</v>
      </c>
    </row>
    <row r="1368" spans="1:9" s="7" customFormat="1" ht="18" hidden="1" customHeight="1">
      <c r="A1368" s="1554"/>
      <c r="B1368" s="107"/>
      <c r="C1368" s="654"/>
      <c r="D1368" s="654"/>
      <c r="E1368" s="256"/>
      <c r="F1368" s="232"/>
      <c r="G1368" s="232"/>
      <c r="H1368" s="231">
        <f t="shared" si="42"/>
        <v>0</v>
      </c>
      <c r="I1368" s="231">
        <f t="shared" si="43"/>
        <v>0</v>
      </c>
    </row>
    <row r="1369" spans="1:9" s="7" customFormat="1" ht="18" hidden="1" customHeight="1">
      <c r="A1369" s="1554"/>
      <c r="B1369" s="107"/>
      <c r="C1369" s="654"/>
      <c r="D1369" s="654"/>
      <c r="E1369" s="256"/>
      <c r="F1369" s="232"/>
      <c r="G1369" s="232"/>
      <c r="H1369" s="231">
        <f t="shared" si="42"/>
        <v>0</v>
      </c>
      <c r="I1369" s="231">
        <f t="shared" si="43"/>
        <v>0</v>
      </c>
    </row>
    <row r="1370" spans="1:9" s="7" customFormat="1" ht="18" hidden="1" customHeight="1">
      <c r="A1370" s="1554"/>
      <c r="B1370" s="107"/>
      <c r="C1370" s="654"/>
      <c r="D1370" s="654"/>
      <c r="E1370" s="256"/>
      <c r="F1370" s="232"/>
      <c r="G1370" s="232"/>
      <c r="H1370" s="231">
        <f t="shared" si="42"/>
        <v>0</v>
      </c>
      <c r="I1370" s="231">
        <f t="shared" si="43"/>
        <v>0</v>
      </c>
    </row>
    <row r="1371" spans="1:9" s="7" customFormat="1" ht="18" hidden="1" customHeight="1">
      <c r="A1371" s="1554"/>
      <c r="B1371" s="107"/>
      <c r="C1371" s="654"/>
      <c r="D1371" s="654"/>
      <c r="E1371" s="256"/>
      <c r="F1371" s="232"/>
      <c r="G1371" s="232"/>
      <c r="H1371" s="231">
        <f t="shared" si="42"/>
        <v>0</v>
      </c>
      <c r="I1371" s="231">
        <f t="shared" si="43"/>
        <v>0</v>
      </c>
    </row>
    <row r="1372" spans="1:9" s="7" customFormat="1" ht="18" hidden="1" customHeight="1">
      <c r="A1372" s="1554"/>
      <c r="B1372" s="107"/>
      <c r="C1372" s="654"/>
      <c r="D1372" s="654"/>
      <c r="E1372" s="256"/>
      <c r="F1372" s="232"/>
      <c r="G1372" s="232"/>
      <c r="H1372" s="231">
        <f t="shared" si="42"/>
        <v>0</v>
      </c>
      <c r="I1372" s="231">
        <f t="shared" si="43"/>
        <v>0</v>
      </c>
    </row>
    <row r="1373" spans="1:9" s="7" customFormat="1" ht="18" hidden="1" customHeight="1">
      <c r="A1373" s="1554"/>
      <c r="B1373" s="107"/>
      <c r="C1373" s="654"/>
      <c r="D1373" s="654"/>
      <c r="E1373" s="256"/>
      <c r="F1373" s="232"/>
      <c r="G1373" s="232"/>
      <c r="H1373" s="231">
        <f t="shared" si="42"/>
        <v>0</v>
      </c>
      <c r="I1373" s="231">
        <f t="shared" si="43"/>
        <v>0</v>
      </c>
    </row>
    <row r="1374" spans="1:9" s="7" customFormat="1" ht="18" hidden="1" customHeight="1">
      <c r="A1374" s="1554"/>
      <c r="B1374" s="107"/>
      <c r="C1374" s="654"/>
      <c r="D1374" s="654"/>
      <c r="E1374" s="256"/>
      <c r="F1374" s="232"/>
      <c r="G1374" s="232"/>
      <c r="H1374" s="231">
        <f t="shared" si="42"/>
        <v>0</v>
      </c>
      <c r="I1374" s="231">
        <f t="shared" si="43"/>
        <v>0</v>
      </c>
    </row>
    <row r="1375" spans="1:9" s="7" customFormat="1" ht="18" hidden="1" customHeight="1">
      <c r="A1375" s="1554"/>
      <c r="B1375" s="107"/>
      <c r="C1375" s="654"/>
      <c r="D1375" s="654"/>
      <c r="E1375" s="256"/>
      <c r="F1375" s="232"/>
      <c r="G1375" s="232"/>
      <c r="H1375" s="231">
        <f t="shared" si="42"/>
        <v>0</v>
      </c>
      <c r="I1375" s="231">
        <f t="shared" si="43"/>
        <v>0</v>
      </c>
    </row>
    <row r="1376" spans="1:9" s="7" customFormat="1" ht="18" hidden="1" customHeight="1">
      <c r="A1376" s="1554"/>
      <c r="B1376" s="107"/>
      <c r="C1376" s="654"/>
      <c r="D1376" s="654"/>
      <c r="E1376" s="256"/>
      <c r="F1376" s="232"/>
      <c r="G1376" s="232"/>
      <c r="H1376" s="231">
        <f t="shared" si="42"/>
        <v>0</v>
      </c>
      <c r="I1376" s="231">
        <f t="shared" si="43"/>
        <v>0</v>
      </c>
    </row>
    <row r="1377" spans="1:12" s="7" customFormat="1" ht="18" hidden="1" customHeight="1">
      <c r="A1377" s="1554"/>
      <c r="B1377" s="107"/>
      <c r="C1377" s="654"/>
      <c r="D1377" s="654"/>
      <c r="E1377" s="256"/>
      <c r="F1377" s="232"/>
      <c r="G1377" s="232"/>
      <c r="H1377" s="231">
        <f t="shared" si="42"/>
        <v>0</v>
      </c>
      <c r="I1377" s="231">
        <f t="shared" si="43"/>
        <v>0</v>
      </c>
    </row>
    <row r="1378" spans="1:12" s="7" customFormat="1" ht="18" hidden="1" customHeight="1">
      <c r="A1378" s="1554"/>
      <c r="B1378" s="107"/>
      <c r="C1378" s="654"/>
      <c r="D1378" s="654"/>
      <c r="E1378" s="256"/>
      <c r="F1378" s="232"/>
      <c r="G1378" s="232"/>
      <c r="H1378" s="231">
        <f t="shared" si="42"/>
        <v>0</v>
      </c>
      <c r="I1378" s="231">
        <f t="shared" si="43"/>
        <v>0</v>
      </c>
    </row>
    <row r="1379" spans="1:12" s="7" customFormat="1" ht="18" hidden="1" customHeight="1">
      <c r="A1379" s="1554"/>
      <c r="B1379" s="107"/>
      <c r="C1379" s="654"/>
      <c r="D1379" s="654"/>
      <c r="E1379" s="256"/>
      <c r="F1379" s="232"/>
      <c r="G1379" s="232"/>
      <c r="H1379" s="231">
        <f t="shared" si="42"/>
        <v>0</v>
      </c>
      <c r="I1379" s="231">
        <f t="shared" si="43"/>
        <v>0</v>
      </c>
    </row>
    <row r="1380" spans="1:12" s="7" customFormat="1" ht="18" hidden="1" customHeight="1">
      <c r="A1380" s="1554"/>
      <c r="B1380" s="107"/>
      <c r="C1380" s="654"/>
      <c r="D1380" s="654"/>
      <c r="E1380" s="256"/>
      <c r="F1380" s="232"/>
      <c r="G1380" s="232"/>
      <c r="H1380" s="231">
        <f t="shared" si="42"/>
        <v>0</v>
      </c>
      <c r="I1380" s="231">
        <f t="shared" si="43"/>
        <v>0</v>
      </c>
    </row>
    <row r="1381" spans="1:12" s="7" customFormat="1" ht="18" hidden="1" customHeight="1">
      <c r="A1381" s="1554"/>
      <c r="B1381" s="107"/>
      <c r="C1381" s="654"/>
      <c r="D1381" s="654"/>
      <c r="E1381" s="256"/>
      <c r="F1381" s="232"/>
      <c r="G1381" s="232"/>
      <c r="H1381" s="231">
        <f t="shared" si="42"/>
        <v>0</v>
      </c>
      <c r="I1381" s="231">
        <f t="shared" si="43"/>
        <v>0</v>
      </c>
    </row>
    <row r="1382" spans="1:12" s="7" customFormat="1" ht="18" hidden="1" customHeight="1">
      <c r="A1382" s="1554"/>
      <c r="B1382" s="107"/>
      <c r="C1382" s="654"/>
      <c r="D1382" s="654"/>
      <c r="E1382" s="256"/>
      <c r="F1382" s="232"/>
      <c r="G1382" s="232"/>
      <c r="H1382" s="231">
        <f t="shared" si="42"/>
        <v>0</v>
      </c>
      <c r="I1382" s="231">
        <f t="shared" si="43"/>
        <v>0</v>
      </c>
    </row>
    <row r="1383" spans="1:12" s="7" customFormat="1" ht="18" hidden="1" customHeight="1">
      <c r="A1383" s="1554"/>
      <c r="B1383" s="107"/>
      <c r="C1383" s="654"/>
      <c r="D1383" s="654"/>
      <c r="E1383" s="256"/>
      <c r="F1383" s="232"/>
      <c r="G1383" s="232"/>
      <c r="H1383" s="231">
        <f t="shared" si="42"/>
        <v>0</v>
      </c>
      <c r="I1383" s="231">
        <f t="shared" si="43"/>
        <v>0</v>
      </c>
    </row>
    <row r="1384" spans="1:12" s="7" customFormat="1" ht="18" hidden="1" customHeight="1">
      <c r="A1384" s="1554"/>
      <c r="B1384" s="107"/>
      <c r="C1384" s="654"/>
      <c r="D1384" s="654"/>
      <c r="E1384" s="256"/>
      <c r="F1384" s="232"/>
      <c r="G1384" s="232"/>
      <c r="H1384" s="231">
        <f t="shared" si="42"/>
        <v>0</v>
      </c>
      <c r="I1384" s="231">
        <f t="shared" si="43"/>
        <v>0</v>
      </c>
    </row>
    <row r="1385" spans="1:12" s="7" customFormat="1" ht="18" hidden="1" customHeight="1">
      <c r="A1385" s="1554"/>
      <c r="B1385" s="107"/>
      <c r="C1385" s="654"/>
      <c r="D1385" s="654"/>
      <c r="E1385" s="256"/>
      <c r="F1385" s="232"/>
      <c r="G1385" s="232"/>
      <c r="H1385" s="231">
        <f t="shared" si="42"/>
        <v>0</v>
      </c>
      <c r="I1385" s="231">
        <f t="shared" si="43"/>
        <v>0</v>
      </c>
    </row>
    <row r="1386" spans="1:12" s="7" customFormat="1" ht="18" hidden="1" customHeight="1">
      <c r="A1386" s="1554"/>
      <c r="B1386" s="268"/>
      <c r="C1386" s="656"/>
      <c r="D1386" s="656"/>
      <c r="E1386" s="657"/>
      <c r="F1386" s="232"/>
      <c r="G1386" s="232"/>
      <c r="H1386" s="231">
        <f t="shared" si="42"/>
        <v>0</v>
      </c>
      <c r="I1386" s="231">
        <f t="shared" si="43"/>
        <v>0</v>
      </c>
    </row>
    <row r="1387" spans="1:12">
      <c r="A1387" s="1566"/>
      <c r="B1387" s="209" t="s">
        <v>985</v>
      </c>
      <c r="C1387" s="581">
        <f>SUM(C1266:C1386)</f>
        <v>409910</v>
      </c>
      <c r="D1387" s="581">
        <f>SUM(D1266:D1386)</f>
        <v>289910</v>
      </c>
      <c r="E1387" s="581">
        <f>SUM(E1266:E1386)</f>
        <v>120000</v>
      </c>
      <c r="F1387" s="263">
        <f>SUM(F1266:F1278)</f>
        <v>0</v>
      </c>
      <c r="G1387" s="236">
        <f>SUM(G1266:G1278)</f>
        <v>0</v>
      </c>
      <c r="H1387" s="1497">
        <f t="shared" si="42"/>
        <v>0</v>
      </c>
      <c r="I1387" s="1497">
        <f t="shared" si="43"/>
        <v>819820</v>
      </c>
      <c r="J1387" s="1440"/>
      <c r="K1387" s="1490"/>
      <c r="L1387" s="1490"/>
    </row>
    <row r="1388" spans="1:12" ht="75">
      <c r="A1388" s="1566" t="s">
        <v>1155</v>
      </c>
      <c r="B1388" s="181" t="s">
        <v>772</v>
      </c>
      <c r="C1388" s="589">
        <v>156700</v>
      </c>
      <c r="D1388" s="589">
        <v>156700</v>
      </c>
      <c r="E1388" s="510"/>
      <c r="F1388" s="237"/>
      <c r="G1388" s="237"/>
      <c r="H1388" s="1497">
        <f t="shared" si="42"/>
        <v>0</v>
      </c>
      <c r="I1388" s="1497">
        <f t="shared" si="43"/>
        <v>313400</v>
      </c>
      <c r="J1388" s="1440"/>
      <c r="K1388" s="1490"/>
      <c r="L1388" s="1490"/>
    </row>
    <row r="1389" spans="1:12" ht="112.5">
      <c r="A1389" s="1566"/>
      <c r="B1389" s="107" t="s">
        <v>773</v>
      </c>
      <c r="C1389" s="589">
        <v>150000</v>
      </c>
      <c r="D1389" s="589"/>
      <c r="E1389" s="510">
        <v>150000</v>
      </c>
      <c r="F1389" s="232"/>
      <c r="G1389" s="232"/>
      <c r="H1389" s="1497">
        <f t="shared" si="42"/>
        <v>0</v>
      </c>
      <c r="I1389" s="1497">
        <f t="shared" si="43"/>
        <v>300000</v>
      </c>
      <c r="J1389" s="1440"/>
      <c r="K1389" s="1490"/>
      <c r="L1389" s="1490"/>
    </row>
    <row r="1390" spans="1:12" ht="37.5">
      <c r="A1390" s="1566"/>
      <c r="B1390" s="369" t="s">
        <v>1273</v>
      </c>
      <c r="C1390" s="590">
        <v>156914</v>
      </c>
      <c r="D1390" s="590">
        <v>156914</v>
      </c>
      <c r="E1390" s="590"/>
      <c r="F1390" s="232"/>
      <c r="G1390" s="232"/>
      <c r="H1390" s="1497">
        <f t="shared" si="42"/>
        <v>0</v>
      </c>
      <c r="I1390" s="1497">
        <f t="shared" si="43"/>
        <v>313828</v>
      </c>
      <c r="J1390" s="1440"/>
      <c r="K1390" s="1490"/>
      <c r="L1390" s="1490"/>
    </row>
    <row r="1391" spans="1:12" ht="93.75">
      <c r="A1391" s="1566"/>
      <c r="B1391" s="1215" t="s">
        <v>1362</v>
      </c>
      <c r="C1391" s="1214">
        <v>120000</v>
      </c>
      <c r="D1391" s="256"/>
      <c r="E1391" s="256">
        <v>120000</v>
      </c>
      <c r="F1391" s="232"/>
      <c r="G1391" s="232"/>
      <c r="H1391" s="1497">
        <f t="shared" si="42"/>
        <v>0</v>
      </c>
      <c r="I1391" s="1497">
        <f t="shared" si="43"/>
        <v>240000</v>
      </c>
      <c r="J1391" s="1440"/>
      <c r="K1391" s="1490"/>
      <c r="L1391" s="1490"/>
    </row>
    <row r="1392" spans="1:12" ht="56.25">
      <c r="A1392" s="1566"/>
      <c r="B1392" s="107" t="s">
        <v>1612</v>
      </c>
      <c r="C1392" s="184">
        <v>13000</v>
      </c>
      <c r="D1392" s="184">
        <v>13000</v>
      </c>
      <c r="E1392" s="184"/>
      <c r="F1392" s="232"/>
      <c r="G1392" s="232"/>
      <c r="H1392" s="1497">
        <f t="shared" si="42"/>
        <v>0</v>
      </c>
      <c r="I1392" s="1497">
        <f t="shared" si="43"/>
        <v>26000</v>
      </c>
      <c r="J1392" s="1440"/>
      <c r="K1392" s="1490"/>
      <c r="L1392" s="1490"/>
    </row>
    <row r="1393" spans="1:12" ht="75">
      <c r="A1393" s="1566"/>
      <c r="B1393" s="107" t="s">
        <v>1613</v>
      </c>
      <c r="C1393" s="184">
        <v>20000</v>
      </c>
      <c r="D1393" s="184">
        <v>20000</v>
      </c>
      <c r="E1393" s="184"/>
      <c r="F1393" s="232"/>
      <c r="G1393" s="232"/>
      <c r="H1393" s="1497">
        <f t="shared" si="42"/>
        <v>0</v>
      </c>
      <c r="I1393" s="1497">
        <f t="shared" si="43"/>
        <v>40000</v>
      </c>
      <c r="J1393" s="1440"/>
      <c r="K1393" s="1490"/>
      <c r="L1393" s="1490"/>
    </row>
    <row r="1394" spans="1:12" ht="56.25">
      <c r="A1394" s="1566"/>
      <c r="B1394" s="107" t="s">
        <v>1614</v>
      </c>
      <c r="C1394" s="184">
        <v>12000</v>
      </c>
      <c r="D1394" s="184"/>
      <c r="E1394" s="184">
        <v>12000</v>
      </c>
      <c r="F1394" s="232"/>
      <c r="G1394" s="232"/>
      <c r="H1394" s="1497">
        <f t="shared" si="42"/>
        <v>0</v>
      </c>
      <c r="I1394" s="1497">
        <f t="shared" si="43"/>
        <v>24000</v>
      </c>
      <c r="J1394" s="1440"/>
      <c r="K1394" s="1490"/>
      <c r="L1394" s="1490"/>
    </row>
    <row r="1395" spans="1:12" ht="56.25">
      <c r="A1395" s="1566"/>
      <c r="B1395" s="107" t="s">
        <v>1615</v>
      </c>
      <c r="C1395" s="184">
        <v>28000</v>
      </c>
      <c r="D1395" s="184">
        <v>28000</v>
      </c>
      <c r="E1395" s="184"/>
      <c r="F1395" s="232"/>
      <c r="G1395" s="232"/>
      <c r="H1395" s="1497">
        <f t="shared" si="42"/>
        <v>0</v>
      </c>
      <c r="I1395" s="1497">
        <f t="shared" si="43"/>
        <v>56000</v>
      </c>
      <c r="J1395" s="1440"/>
      <c r="K1395" s="1490"/>
      <c r="L1395" s="1490"/>
    </row>
    <row r="1396" spans="1:12" ht="37.5">
      <c r="A1396" s="1566"/>
      <c r="B1396" s="107" t="s">
        <v>1616</v>
      </c>
      <c r="C1396" s="184">
        <v>10000</v>
      </c>
      <c r="D1396" s="184">
        <v>10000</v>
      </c>
      <c r="E1396" s="184"/>
      <c r="F1396" s="232"/>
      <c r="G1396" s="232"/>
      <c r="H1396" s="1497">
        <f t="shared" si="42"/>
        <v>0</v>
      </c>
      <c r="I1396" s="1497">
        <f t="shared" si="43"/>
        <v>20000</v>
      </c>
      <c r="J1396" s="1440"/>
      <c r="K1396" s="1490"/>
      <c r="L1396" s="1490"/>
    </row>
    <row r="1397" spans="1:12" ht="112.5">
      <c r="A1397" s="1566"/>
      <c r="B1397" s="107" t="s">
        <v>1617</v>
      </c>
      <c r="C1397" s="184">
        <v>6000</v>
      </c>
      <c r="D1397" s="184">
        <v>6000</v>
      </c>
      <c r="E1397" s="184"/>
      <c r="F1397" s="232"/>
      <c r="G1397" s="232"/>
      <c r="H1397" s="1497">
        <f t="shared" si="42"/>
        <v>0</v>
      </c>
      <c r="I1397" s="1497">
        <f t="shared" si="43"/>
        <v>12000</v>
      </c>
      <c r="J1397" s="1440"/>
      <c r="K1397" s="1490"/>
      <c r="L1397" s="1490"/>
    </row>
    <row r="1398" spans="1:12" ht="56.25">
      <c r="A1398" s="1566"/>
      <c r="B1398" s="425" t="s">
        <v>1618</v>
      </c>
      <c r="C1398" s="817">
        <v>35000</v>
      </c>
      <c r="D1398" s="817">
        <v>35000</v>
      </c>
      <c r="E1398" s="184"/>
      <c r="F1398" s="232"/>
      <c r="G1398" s="232"/>
      <c r="H1398" s="1497">
        <f t="shared" si="42"/>
        <v>0</v>
      </c>
      <c r="I1398" s="1497">
        <f t="shared" si="43"/>
        <v>70000</v>
      </c>
      <c r="J1398" s="1440"/>
      <c r="K1398" s="1490"/>
      <c r="L1398" s="1490"/>
    </row>
    <row r="1399" spans="1:12" s="7" customFormat="1" ht="56.25">
      <c r="A1399" s="1558"/>
      <c r="B1399" s="425" t="s">
        <v>1619</v>
      </c>
      <c r="C1399" s="817">
        <v>10000</v>
      </c>
      <c r="D1399" s="817">
        <v>10000</v>
      </c>
      <c r="E1399" s="184"/>
      <c r="F1399" s="232"/>
      <c r="G1399" s="232"/>
      <c r="H1399" s="1497">
        <f t="shared" si="42"/>
        <v>0</v>
      </c>
      <c r="I1399" s="1497">
        <f t="shared" si="43"/>
        <v>20000</v>
      </c>
      <c r="J1399" s="1435"/>
      <c r="K1399" s="1491"/>
      <c r="L1399" s="1491"/>
    </row>
    <row r="1400" spans="1:12" s="7" customFormat="1" ht="75">
      <c r="A1400" s="1558"/>
      <c r="B1400" s="107" t="s">
        <v>1620</v>
      </c>
      <c r="C1400" s="817">
        <v>15000</v>
      </c>
      <c r="D1400" s="817">
        <v>15000</v>
      </c>
      <c r="E1400" s="184"/>
      <c r="F1400" s="232"/>
      <c r="G1400" s="232"/>
      <c r="H1400" s="1497">
        <f t="shared" si="42"/>
        <v>0</v>
      </c>
      <c r="I1400" s="1497">
        <f t="shared" si="43"/>
        <v>30000</v>
      </c>
      <c r="J1400" s="1435"/>
      <c r="K1400" s="1491"/>
      <c r="L1400" s="1491"/>
    </row>
    <row r="1401" spans="1:12" s="7" customFormat="1" ht="56.25">
      <c r="A1401" s="1558"/>
      <c r="B1401" s="107" t="s">
        <v>1621</v>
      </c>
      <c r="C1401" s="817">
        <v>10000</v>
      </c>
      <c r="D1401" s="817">
        <v>10000</v>
      </c>
      <c r="E1401" s="184"/>
      <c r="F1401" s="232"/>
      <c r="G1401" s="232"/>
      <c r="H1401" s="1497">
        <f t="shared" si="42"/>
        <v>0</v>
      </c>
      <c r="I1401" s="1497">
        <f t="shared" si="43"/>
        <v>20000</v>
      </c>
      <c r="J1401" s="1435"/>
      <c r="K1401" s="1491"/>
      <c r="L1401" s="1491"/>
    </row>
    <row r="1402" spans="1:12" s="7" customFormat="1" hidden="1">
      <c r="A1402" s="1558"/>
      <c r="B1402" s="107"/>
      <c r="C1402" s="589"/>
      <c r="D1402" s="589"/>
      <c r="E1402" s="510"/>
      <c r="F1402" s="232"/>
      <c r="G1402" s="232"/>
      <c r="H1402" s="231">
        <f t="shared" si="42"/>
        <v>0</v>
      </c>
      <c r="I1402" s="231">
        <f t="shared" si="43"/>
        <v>0</v>
      </c>
    </row>
    <row r="1403" spans="1:12" s="7" customFormat="1" hidden="1">
      <c r="A1403" s="1558"/>
      <c r="B1403" s="107"/>
      <c r="C1403" s="589"/>
      <c r="D1403" s="589"/>
      <c r="E1403" s="510"/>
      <c r="F1403" s="232"/>
      <c r="G1403" s="232"/>
      <c r="H1403" s="231">
        <f t="shared" si="42"/>
        <v>0</v>
      </c>
      <c r="I1403" s="231">
        <f t="shared" si="43"/>
        <v>0</v>
      </c>
    </row>
    <row r="1404" spans="1:12" s="7" customFormat="1" hidden="1">
      <c r="A1404" s="1558"/>
      <c r="B1404" s="107"/>
      <c r="C1404" s="589"/>
      <c r="D1404" s="589"/>
      <c r="E1404" s="510"/>
      <c r="F1404" s="232"/>
      <c r="G1404" s="232"/>
      <c r="H1404" s="231">
        <f t="shared" si="42"/>
        <v>0</v>
      </c>
      <c r="I1404" s="231">
        <f t="shared" si="43"/>
        <v>0</v>
      </c>
    </row>
    <row r="1405" spans="1:12" s="7" customFormat="1" hidden="1">
      <c r="A1405" s="1558"/>
      <c r="B1405" s="107"/>
      <c r="C1405" s="589"/>
      <c r="D1405" s="589"/>
      <c r="E1405" s="510"/>
      <c r="F1405" s="232"/>
      <c r="G1405" s="232"/>
      <c r="H1405" s="231">
        <f t="shared" si="42"/>
        <v>0</v>
      </c>
      <c r="I1405" s="231">
        <f t="shared" si="43"/>
        <v>0</v>
      </c>
    </row>
    <row r="1406" spans="1:12" s="7" customFormat="1" hidden="1">
      <c r="A1406" s="1558"/>
      <c r="B1406" s="617"/>
      <c r="C1406" s="633"/>
      <c r="D1406" s="633"/>
      <c r="E1406" s="633"/>
      <c r="F1406" s="232"/>
      <c r="G1406" s="232"/>
      <c r="H1406" s="231">
        <f t="shared" si="42"/>
        <v>0</v>
      </c>
      <c r="I1406" s="231">
        <f t="shared" si="43"/>
        <v>0</v>
      </c>
    </row>
    <row r="1407" spans="1:12" s="7" customFormat="1" hidden="1">
      <c r="A1407" s="1558"/>
      <c r="B1407" s="617"/>
      <c r="C1407" s="633"/>
      <c r="D1407" s="633"/>
      <c r="E1407" s="633"/>
      <c r="F1407" s="232"/>
      <c r="G1407" s="232"/>
      <c r="H1407" s="231">
        <f t="shared" si="42"/>
        <v>0</v>
      </c>
      <c r="I1407" s="231">
        <f t="shared" si="43"/>
        <v>0</v>
      </c>
    </row>
    <row r="1408" spans="1:12" s="7" customFormat="1" hidden="1">
      <c r="A1408" s="1558"/>
      <c r="B1408" s="107"/>
      <c r="C1408" s="649"/>
      <c r="D1408" s="649"/>
      <c r="E1408" s="256"/>
      <c r="F1408" s="232"/>
      <c r="G1408" s="232"/>
      <c r="H1408" s="231">
        <f t="shared" si="42"/>
        <v>0</v>
      </c>
      <c r="I1408" s="231">
        <f t="shared" si="43"/>
        <v>0</v>
      </c>
    </row>
    <row r="1409" spans="1:9" s="7" customFormat="1" hidden="1">
      <c r="A1409" s="1558"/>
      <c r="B1409" s="107"/>
      <c r="C1409" s="649"/>
      <c r="D1409" s="649"/>
      <c r="E1409" s="256"/>
      <c r="F1409" s="232"/>
      <c r="G1409" s="232"/>
      <c r="H1409" s="231">
        <f t="shared" si="42"/>
        <v>0</v>
      </c>
      <c r="I1409" s="231">
        <f t="shared" si="43"/>
        <v>0</v>
      </c>
    </row>
    <row r="1410" spans="1:9" s="7" customFormat="1" hidden="1">
      <c r="A1410" s="1558"/>
      <c r="B1410" s="107"/>
      <c r="C1410" s="256"/>
      <c r="D1410" s="256"/>
      <c r="E1410" s="256"/>
      <c r="F1410" s="232"/>
      <c r="G1410" s="232"/>
      <c r="H1410" s="231">
        <f t="shared" si="42"/>
        <v>0</v>
      </c>
      <c r="I1410" s="231">
        <f t="shared" si="43"/>
        <v>0</v>
      </c>
    </row>
    <row r="1411" spans="1:9" s="7" customFormat="1" hidden="1">
      <c r="A1411" s="1558"/>
      <c r="B1411" s="107"/>
      <c r="C1411" s="256"/>
      <c r="D1411" s="256"/>
      <c r="E1411" s="256"/>
      <c r="F1411" s="232"/>
      <c r="G1411" s="232"/>
      <c r="H1411" s="231">
        <f t="shared" si="42"/>
        <v>0</v>
      </c>
      <c r="I1411" s="231">
        <f t="shared" si="43"/>
        <v>0</v>
      </c>
    </row>
    <row r="1412" spans="1:9" s="7" customFormat="1" hidden="1">
      <c r="A1412" s="1558"/>
      <c r="B1412" s="107"/>
      <c r="C1412" s="256"/>
      <c r="D1412" s="256"/>
      <c r="E1412" s="256"/>
      <c r="F1412" s="232"/>
      <c r="G1412" s="232"/>
      <c r="H1412" s="231">
        <f t="shared" si="42"/>
        <v>0</v>
      </c>
      <c r="I1412" s="231">
        <f t="shared" si="43"/>
        <v>0</v>
      </c>
    </row>
    <row r="1413" spans="1:9" s="7" customFormat="1" hidden="1">
      <c r="A1413" s="1558"/>
      <c r="B1413" s="107"/>
      <c r="C1413" s="256"/>
      <c r="D1413" s="256"/>
      <c r="E1413" s="256"/>
      <c r="F1413" s="232"/>
      <c r="G1413" s="232"/>
      <c r="H1413" s="231">
        <f t="shared" si="42"/>
        <v>0</v>
      </c>
      <c r="I1413" s="231">
        <f t="shared" si="43"/>
        <v>0</v>
      </c>
    </row>
    <row r="1414" spans="1:9" s="7" customFormat="1" hidden="1">
      <c r="A1414" s="1558"/>
      <c r="B1414" s="107"/>
      <c r="C1414" s="256"/>
      <c r="D1414" s="256"/>
      <c r="E1414" s="256"/>
      <c r="F1414" s="232"/>
      <c r="G1414" s="232"/>
      <c r="H1414" s="231">
        <f t="shared" si="42"/>
        <v>0</v>
      </c>
      <c r="I1414" s="231">
        <f t="shared" si="43"/>
        <v>0</v>
      </c>
    </row>
    <row r="1415" spans="1:9" s="7" customFormat="1" hidden="1">
      <c r="A1415" s="1558"/>
      <c r="B1415" s="107"/>
      <c r="C1415" s="256"/>
      <c r="D1415" s="256"/>
      <c r="E1415" s="256"/>
      <c r="F1415" s="232"/>
      <c r="G1415" s="232"/>
      <c r="H1415" s="231">
        <f t="shared" si="42"/>
        <v>0</v>
      </c>
      <c r="I1415" s="231">
        <f t="shared" si="43"/>
        <v>0</v>
      </c>
    </row>
    <row r="1416" spans="1:9" s="7" customFormat="1" hidden="1">
      <c r="A1416" s="1558"/>
      <c r="B1416" s="107"/>
      <c r="C1416" s="649"/>
      <c r="D1416" s="649"/>
      <c r="E1416" s="256"/>
      <c r="F1416" s="232"/>
      <c r="G1416" s="232"/>
      <c r="H1416" s="231">
        <f t="shared" si="42"/>
        <v>0</v>
      </c>
      <c r="I1416" s="231">
        <f t="shared" si="43"/>
        <v>0</v>
      </c>
    </row>
    <row r="1417" spans="1:9" s="7" customFormat="1" hidden="1">
      <c r="A1417" s="1558"/>
      <c r="B1417" s="371"/>
      <c r="C1417" s="665"/>
      <c r="D1417" s="665"/>
      <c r="E1417" s="665"/>
      <c r="F1417" s="232"/>
      <c r="G1417" s="232"/>
      <c r="H1417" s="231">
        <f t="shared" ref="H1417:H1480" si="44">E1417+D1417-C1417</f>
        <v>0</v>
      </c>
      <c r="I1417" s="231">
        <f t="shared" ref="I1417:I1480" si="45">SUM(C1417:E1417)</f>
        <v>0</v>
      </c>
    </row>
    <row r="1418" spans="1:9" s="7" customFormat="1" hidden="1">
      <c r="A1418" s="1558"/>
      <c r="B1418" s="371"/>
      <c r="C1418" s="844"/>
      <c r="D1418" s="844"/>
      <c r="E1418" s="844"/>
      <c r="F1418" s="232"/>
      <c r="G1418" s="232"/>
      <c r="H1418" s="231">
        <f t="shared" si="44"/>
        <v>0</v>
      </c>
      <c r="I1418" s="231">
        <f t="shared" si="45"/>
        <v>0</v>
      </c>
    </row>
    <row r="1419" spans="1:9" s="7" customFormat="1" hidden="1">
      <c r="A1419" s="1558"/>
      <c r="B1419" s="371"/>
      <c r="C1419" s="844"/>
      <c r="D1419" s="844"/>
      <c r="E1419" s="844"/>
      <c r="F1419" s="232"/>
      <c r="G1419" s="232"/>
      <c r="H1419" s="231">
        <f t="shared" si="44"/>
        <v>0</v>
      </c>
      <c r="I1419" s="231">
        <f t="shared" si="45"/>
        <v>0</v>
      </c>
    </row>
    <row r="1420" spans="1:9" s="7" customFormat="1" hidden="1">
      <c r="A1420" s="1558"/>
      <c r="B1420" s="371"/>
      <c r="C1420" s="846"/>
      <c r="D1420" s="846"/>
      <c r="E1420" s="846"/>
      <c r="F1420" s="232"/>
      <c r="G1420" s="232"/>
      <c r="H1420" s="231">
        <f t="shared" si="44"/>
        <v>0</v>
      </c>
      <c r="I1420" s="231">
        <f t="shared" si="45"/>
        <v>0</v>
      </c>
    </row>
    <row r="1421" spans="1:9" s="7" customFormat="1" hidden="1">
      <c r="A1421" s="1558"/>
      <c r="B1421" s="371"/>
      <c r="C1421" s="846"/>
      <c r="D1421" s="846"/>
      <c r="E1421" s="846"/>
      <c r="F1421" s="232"/>
      <c r="G1421" s="232"/>
      <c r="H1421" s="231">
        <f t="shared" si="44"/>
        <v>0</v>
      </c>
      <c r="I1421" s="231">
        <f t="shared" si="45"/>
        <v>0</v>
      </c>
    </row>
    <row r="1422" spans="1:9" s="7" customFormat="1" hidden="1">
      <c r="A1422" s="1558"/>
      <c r="B1422" s="371"/>
      <c r="C1422" s="846"/>
      <c r="D1422" s="846"/>
      <c r="E1422" s="849"/>
      <c r="F1422" s="232"/>
      <c r="G1422" s="232"/>
      <c r="H1422" s="231">
        <f t="shared" si="44"/>
        <v>0</v>
      </c>
      <c r="I1422" s="231">
        <f t="shared" si="45"/>
        <v>0</v>
      </c>
    </row>
    <row r="1423" spans="1:9" s="7" customFormat="1" hidden="1">
      <c r="A1423" s="1558"/>
      <c r="B1423" s="371"/>
      <c r="C1423" s="846"/>
      <c r="D1423" s="846"/>
      <c r="E1423" s="849"/>
      <c r="F1423" s="232"/>
      <c r="G1423" s="232"/>
      <c r="H1423" s="231">
        <f t="shared" si="44"/>
        <v>0</v>
      </c>
      <c r="I1423" s="231">
        <f t="shared" si="45"/>
        <v>0</v>
      </c>
    </row>
    <row r="1424" spans="1:9" s="7" customFormat="1" hidden="1">
      <c r="A1424" s="1558"/>
      <c r="B1424" s="371"/>
      <c r="C1424" s="846"/>
      <c r="D1424" s="846"/>
      <c r="E1424" s="846"/>
      <c r="F1424" s="232"/>
      <c r="G1424" s="232"/>
      <c r="H1424" s="231">
        <f t="shared" si="44"/>
        <v>0</v>
      </c>
      <c r="I1424" s="231">
        <f t="shared" si="45"/>
        <v>0</v>
      </c>
    </row>
    <row r="1425" spans="1:9" s="7" customFormat="1" hidden="1">
      <c r="A1425" s="1558"/>
      <c r="B1425" s="371"/>
      <c r="C1425" s="846"/>
      <c r="D1425" s="846"/>
      <c r="E1425" s="846"/>
      <c r="F1425" s="232"/>
      <c r="G1425" s="232"/>
      <c r="H1425" s="231">
        <f t="shared" si="44"/>
        <v>0</v>
      </c>
      <c r="I1425" s="231">
        <f t="shared" si="45"/>
        <v>0</v>
      </c>
    </row>
    <row r="1426" spans="1:9" s="7" customFormat="1" hidden="1">
      <c r="A1426" s="1558"/>
      <c r="B1426" s="371"/>
      <c r="C1426" s="846"/>
      <c r="D1426" s="846"/>
      <c r="E1426" s="846"/>
      <c r="F1426" s="232"/>
      <c r="G1426" s="232"/>
      <c r="H1426" s="231">
        <f t="shared" si="44"/>
        <v>0</v>
      </c>
      <c r="I1426" s="231">
        <f t="shared" si="45"/>
        <v>0</v>
      </c>
    </row>
    <row r="1427" spans="1:9" s="7" customFormat="1" hidden="1">
      <c r="A1427" s="1558"/>
      <c r="B1427" s="371"/>
      <c r="C1427" s="846"/>
      <c r="D1427" s="846"/>
      <c r="E1427" s="846"/>
      <c r="F1427" s="232"/>
      <c r="G1427" s="232"/>
      <c r="H1427" s="231">
        <f t="shared" si="44"/>
        <v>0</v>
      </c>
      <c r="I1427" s="231">
        <f t="shared" si="45"/>
        <v>0</v>
      </c>
    </row>
    <row r="1428" spans="1:9" s="7" customFormat="1" hidden="1">
      <c r="A1428" s="1558"/>
      <c r="B1428" s="371"/>
      <c r="C1428" s="846"/>
      <c r="D1428" s="846"/>
      <c r="E1428" s="846"/>
      <c r="F1428" s="232"/>
      <c r="G1428" s="232"/>
      <c r="H1428" s="231">
        <f t="shared" si="44"/>
        <v>0</v>
      </c>
      <c r="I1428" s="231">
        <f t="shared" si="45"/>
        <v>0</v>
      </c>
    </row>
    <row r="1429" spans="1:9" s="7" customFormat="1" hidden="1">
      <c r="A1429" s="1558"/>
      <c r="B1429" s="371"/>
      <c r="C1429" s="846"/>
      <c r="D1429" s="846"/>
      <c r="E1429" s="846"/>
      <c r="F1429" s="232"/>
      <c r="G1429" s="232"/>
      <c r="H1429" s="231">
        <f t="shared" si="44"/>
        <v>0</v>
      </c>
      <c r="I1429" s="231">
        <f t="shared" si="45"/>
        <v>0</v>
      </c>
    </row>
    <row r="1430" spans="1:9" s="7" customFormat="1" hidden="1">
      <c r="A1430" s="1558"/>
      <c r="B1430" s="371"/>
      <c r="C1430" s="846"/>
      <c r="D1430" s="846"/>
      <c r="E1430" s="846"/>
      <c r="F1430" s="232"/>
      <c r="G1430" s="232"/>
      <c r="H1430" s="231">
        <f t="shared" si="44"/>
        <v>0</v>
      </c>
      <c r="I1430" s="231">
        <f t="shared" si="45"/>
        <v>0</v>
      </c>
    </row>
    <row r="1431" spans="1:9" s="7" customFormat="1" hidden="1">
      <c r="A1431" s="1554"/>
      <c r="B1431" s="371"/>
      <c r="C1431" s="846"/>
      <c r="D1431" s="846"/>
      <c r="E1431" s="846"/>
      <c r="F1431" s="232"/>
      <c r="G1431" s="232"/>
      <c r="H1431" s="231">
        <f t="shared" si="44"/>
        <v>0</v>
      </c>
      <c r="I1431" s="231">
        <f t="shared" si="45"/>
        <v>0</v>
      </c>
    </row>
    <row r="1432" spans="1:9" s="7" customFormat="1" hidden="1">
      <c r="A1432" s="1554"/>
      <c r="B1432" s="224"/>
      <c r="C1432" s="256"/>
      <c r="D1432" s="256"/>
      <c r="E1432" s="256"/>
      <c r="F1432" s="232"/>
      <c r="G1432" s="232"/>
      <c r="H1432" s="231">
        <f t="shared" si="44"/>
        <v>0</v>
      </c>
      <c r="I1432" s="231">
        <f t="shared" si="45"/>
        <v>0</v>
      </c>
    </row>
    <row r="1433" spans="1:9" s="7" customFormat="1" hidden="1">
      <c r="A1433" s="1554"/>
      <c r="B1433" s="224"/>
      <c r="C1433" s="256"/>
      <c r="D1433" s="256"/>
      <c r="E1433" s="256"/>
      <c r="F1433" s="232"/>
      <c r="G1433" s="232"/>
      <c r="H1433" s="231">
        <f t="shared" si="44"/>
        <v>0</v>
      </c>
      <c r="I1433" s="231">
        <f t="shared" si="45"/>
        <v>0</v>
      </c>
    </row>
    <row r="1434" spans="1:9" s="7" customFormat="1" hidden="1">
      <c r="A1434" s="1554"/>
      <c r="B1434" s="224"/>
      <c r="C1434" s="256"/>
      <c r="D1434" s="256"/>
      <c r="E1434" s="256"/>
      <c r="F1434" s="232"/>
      <c r="G1434" s="232"/>
      <c r="H1434" s="231">
        <f t="shared" si="44"/>
        <v>0</v>
      </c>
      <c r="I1434" s="231">
        <f t="shared" si="45"/>
        <v>0</v>
      </c>
    </row>
    <row r="1435" spans="1:9" s="7" customFormat="1" hidden="1">
      <c r="A1435" s="1554"/>
      <c r="B1435" s="224"/>
      <c r="C1435" s="256"/>
      <c r="D1435" s="256"/>
      <c r="E1435" s="256"/>
      <c r="F1435" s="232"/>
      <c r="G1435" s="232"/>
      <c r="H1435" s="231">
        <f t="shared" si="44"/>
        <v>0</v>
      </c>
      <c r="I1435" s="231">
        <f t="shared" si="45"/>
        <v>0</v>
      </c>
    </row>
    <row r="1436" spans="1:9" s="7" customFormat="1" hidden="1">
      <c r="A1436" s="1554"/>
      <c r="B1436" s="224"/>
      <c r="C1436" s="256"/>
      <c r="D1436" s="256"/>
      <c r="E1436" s="256"/>
      <c r="F1436" s="232"/>
      <c r="G1436" s="232"/>
      <c r="H1436" s="231">
        <f t="shared" si="44"/>
        <v>0</v>
      </c>
      <c r="I1436" s="231">
        <f t="shared" si="45"/>
        <v>0</v>
      </c>
    </row>
    <row r="1437" spans="1:9" s="7" customFormat="1" hidden="1">
      <c r="A1437" s="1554"/>
      <c r="B1437" s="224"/>
      <c r="C1437" s="256"/>
      <c r="D1437" s="256"/>
      <c r="E1437" s="256"/>
      <c r="F1437" s="232"/>
      <c r="G1437" s="232"/>
      <c r="H1437" s="231">
        <f t="shared" si="44"/>
        <v>0</v>
      </c>
      <c r="I1437" s="231">
        <f t="shared" si="45"/>
        <v>0</v>
      </c>
    </row>
    <row r="1438" spans="1:9" s="7" customFormat="1" hidden="1">
      <c r="A1438" s="1554"/>
      <c r="B1438" s="224"/>
      <c r="C1438" s="256"/>
      <c r="D1438" s="256"/>
      <c r="E1438" s="256"/>
      <c r="F1438" s="232"/>
      <c r="G1438" s="232"/>
      <c r="H1438" s="231">
        <f t="shared" si="44"/>
        <v>0</v>
      </c>
      <c r="I1438" s="231">
        <f t="shared" si="45"/>
        <v>0</v>
      </c>
    </row>
    <row r="1439" spans="1:9" s="7" customFormat="1" hidden="1">
      <c r="A1439" s="1554"/>
      <c r="B1439" s="224"/>
      <c r="C1439" s="256"/>
      <c r="D1439" s="256"/>
      <c r="E1439" s="256"/>
      <c r="F1439" s="232"/>
      <c r="G1439" s="232"/>
      <c r="H1439" s="231">
        <f t="shared" si="44"/>
        <v>0</v>
      </c>
      <c r="I1439" s="231">
        <f t="shared" si="45"/>
        <v>0</v>
      </c>
    </row>
    <row r="1440" spans="1:9" s="7" customFormat="1" hidden="1">
      <c r="A1440" s="1554"/>
      <c r="B1440" s="224"/>
      <c r="C1440" s="256"/>
      <c r="D1440" s="256"/>
      <c r="E1440" s="256"/>
      <c r="F1440" s="232"/>
      <c r="G1440" s="232"/>
      <c r="H1440" s="231">
        <f t="shared" si="44"/>
        <v>0</v>
      </c>
      <c r="I1440" s="231">
        <f t="shared" si="45"/>
        <v>0</v>
      </c>
    </row>
    <row r="1441" spans="1:9" s="7" customFormat="1" hidden="1">
      <c r="A1441" s="1554"/>
      <c r="B1441" s="224"/>
      <c r="C1441" s="256"/>
      <c r="D1441" s="256"/>
      <c r="E1441" s="256"/>
      <c r="F1441" s="232"/>
      <c r="G1441" s="232"/>
      <c r="H1441" s="231">
        <f t="shared" si="44"/>
        <v>0</v>
      </c>
      <c r="I1441" s="231">
        <f t="shared" si="45"/>
        <v>0</v>
      </c>
    </row>
    <row r="1442" spans="1:9" s="7" customFormat="1" hidden="1">
      <c r="A1442" s="1554"/>
      <c r="B1442" s="224"/>
      <c r="C1442" s="256"/>
      <c r="D1442" s="256"/>
      <c r="E1442" s="256"/>
      <c r="F1442" s="232"/>
      <c r="G1442" s="232"/>
      <c r="H1442" s="231">
        <f t="shared" si="44"/>
        <v>0</v>
      </c>
      <c r="I1442" s="231">
        <f t="shared" si="45"/>
        <v>0</v>
      </c>
    </row>
    <row r="1443" spans="1:9" s="7" customFormat="1" hidden="1">
      <c r="A1443" s="1554"/>
      <c r="B1443" s="224"/>
      <c r="C1443" s="256"/>
      <c r="D1443" s="256"/>
      <c r="E1443" s="256"/>
      <c r="F1443" s="232"/>
      <c r="G1443" s="232"/>
      <c r="H1443" s="231">
        <f t="shared" si="44"/>
        <v>0</v>
      </c>
      <c r="I1443" s="231">
        <f t="shared" si="45"/>
        <v>0</v>
      </c>
    </row>
    <row r="1444" spans="1:9" s="7" customFormat="1" hidden="1">
      <c r="A1444" s="1554"/>
      <c r="B1444" s="224"/>
      <c r="C1444" s="256"/>
      <c r="D1444" s="256"/>
      <c r="E1444" s="256"/>
      <c r="F1444" s="232"/>
      <c r="G1444" s="232"/>
      <c r="H1444" s="231">
        <f t="shared" si="44"/>
        <v>0</v>
      </c>
      <c r="I1444" s="231">
        <f t="shared" si="45"/>
        <v>0</v>
      </c>
    </row>
    <row r="1445" spans="1:9" s="7" customFormat="1" hidden="1">
      <c r="A1445" s="1554"/>
      <c r="B1445" s="224"/>
      <c r="C1445" s="256"/>
      <c r="D1445" s="256"/>
      <c r="E1445" s="256"/>
      <c r="F1445" s="232"/>
      <c r="G1445" s="232"/>
      <c r="H1445" s="231">
        <f t="shared" si="44"/>
        <v>0</v>
      </c>
      <c r="I1445" s="231">
        <f t="shared" si="45"/>
        <v>0</v>
      </c>
    </row>
    <row r="1446" spans="1:9" s="7" customFormat="1" hidden="1">
      <c r="A1446" s="1554"/>
      <c r="B1446" s="224"/>
      <c r="C1446" s="256"/>
      <c r="D1446" s="256"/>
      <c r="E1446" s="256"/>
      <c r="F1446" s="232"/>
      <c r="G1446" s="232"/>
      <c r="H1446" s="231">
        <f t="shared" si="44"/>
        <v>0</v>
      </c>
      <c r="I1446" s="231">
        <f t="shared" si="45"/>
        <v>0</v>
      </c>
    </row>
    <row r="1447" spans="1:9" s="7" customFormat="1" hidden="1">
      <c r="A1447" s="1554"/>
      <c r="B1447" s="224"/>
      <c r="C1447" s="256"/>
      <c r="D1447" s="256"/>
      <c r="E1447" s="256"/>
      <c r="F1447" s="232"/>
      <c r="G1447" s="232"/>
      <c r="H1447" s="231">
        <f t="shared" si="44"/>
        <v>0</v>
      </c>
      <c r="I1447" s="231">
        <f t="shared" si="45"/>
        <v>0</v>
      </c>
    </row>
    <row r="1448" spans="1:9" s="7" customFormat="1" hidden="1">
      <c r="A1448" s="1554"/>
      <c r="B1448" s="224"/>
      <c r="C1448" s="256"/>
      <c r="D1448" s="256"/>
      <c r="E1448" s="256"/>
      <c r="F1448" s="232"/>
      <c r="G1448" s="232"/>
      <c r="H1448" s="231">
        <f t="shared" si="44"/>
        <v>0</v>
      </c>
      <c r="I1448" s="231">
        <f t="shared" si="45"/>
        <v>0</v>
      </c>
    </row>
    <row r="1449" spans="1:9" s="7" customFormat="1" hidden="1">
      <c r="A1449" s="1554"/>
      <c r="B1449" s="224"/>
      <c r="C1449" s="256"/>
      <c r="D1449" s="256"/>
      <c r="E1449" s="256"/>
      <c r="F1449" s="232"/>
      <c r="G1449" s="232"/>
      <c r="H1449" s="231">
        <f t="shared" si="44"/>
        <v>0</v>
      </c>
      <c r="I1449" s="231">
        <f t="shared" si="45"/>
        <v>0</v>
      </c>
    </row>
    <row r="1450" spans="1:9" s="7" customFormat="1" hidden="1">
      <c r="A1450" s="1554"/>
      <c r="B1450" s="224"/>
      <c r="C1450" s="256"/>
      <c r="D1450" s="256"/>
      <c r="E1450" s="256"/>
      <c r="F1450" s="232"/>
      <c r="G1450" s="232"/>
      <c r="H1450" s="231">
        <f t="shared" si="44"/>
        <v>0</v>
      </c>
      <c r="I1450" s="231">
        <f t="shared" si="45"/>
        <v>0</v>
      </c>
    </row>
    <row r="1451" spans="1:9" s="7" customFormat="1" hidden="1">
      <c r="A1451" s="1554"/>
      <c r="B1451" s="224"/>
      <c r="C1451" s="256"/>
      <c r="D1451" s="256"/>
      <c r="E1451" s="256"/>
      <c r="F1451" s="232"/>
      <c r="G1451" s="232"/>
      <c r="H1451" s="231">
        <f t="shared" si="44"/>
        <v>0</v>
      </c>
      <c r="I1451" s="231">
        <f t="shared" si="45"/>
        <v>0</v>
      </c>
    </row>
    <row r="1452" spans="1:9" s="7" customFormat="1" hidden="1">
      <c r="A1452" s="1554"/>
      <c r="B1452" s="224"/>
      <c r="C1452" s="256"/>
      <c r="D1452" s="256"/>
      <c r="E1452" s="256"/>
      <c r="F1452" s="232"/>
      <c r="G1452" s="232"/>
      <c r="H1452" s="231">
        <f t="shared" si="44"/>
        <v>0</v>
      </c>
      <c r="I1452" s="231">
        <f t="shared" si="45"/>
        <v>0</v>
      </c>
    </row>
    <row r="1453" spans="1:9" s="7" customFormat="1" hidden="1">
      <c r="A1453" s="1554"/>
      <c r="B1453" s="224"/>
      <c r="C1453" s="256"/>
      <c r="D1453" s="256"/>
      <c r="E1453" s="256"/>
      <c r="F1453" s="232"/>
      <c r="G1453" s="232"/>
      <c r="H1453" s="231">
        <f t="shared" si="44"/>
        <v>0</v>
      </c>
      <c r="I1453" s="231">
        <f t="shared" si="45"/>
        <v>0</v>
      </c>
    </row>
    <row r="1454" spans="1:9" s="7" customFormat="1" hidden="1">
      <c r="A1454" s="1554"/>
      <c r="B1454" s="224"/>
      <c r="C1454" s="256"/>
      <c r="D1454" s="256"/>
      <c r="E1454" s="256"/>
      <c r="F1454" s="232"/>
      <c r="G1454" s="232"/>
      <c r="H1454" s="231">
        <f t="shared" si="44"/>
        <v>0</v>
      </c>
      <c r="I1454" s="231">
        <f t="shared" si="45"/>
        <v>0</v>
      </c>
    </row>
    <row r="1455" spans="1:9" s="7" customFormat="1" ht="18" hidden="1" customHeight="1">
      <c r="A1455" s="1554"/>
      <c r="B1455" s="107"/>
      <c r="C1455" s="654"/>
      <c r="D1455" s="654"/>
      <c r="E1455" s="654"/>
      <c r="F1455" s="232"/>
      <c r="G1455" s="232"/>
      <c r="H1455" s="231">
        <f t="shared" si="44"/>
        <v>0</v>
      </c>
      <c r="I1455" s="231">
        <f t="shared" si="45"/>
        <v>0</v>
      </c>
    </row>
    <row r="1456" spans="1:9" s="7" customFormat="1" ht="18" hidden="1" customHeight="1">
      <c r="A1456" s="1554"/>
      <c r="B1456" s="268"/>
      <c r="C1456" s="656"/>
      <c r="D1456" s="656"/>
      <c r="E1456" s="656"/>
      <c r="F1456" s="232"/>
      <c r="G1456" s="232"/>
      <c r="H1456" s="231">
        <f t="shared" si="44"/>
        <v>0</v>
      </c>
      <c r="I1456" s="231">
        <f t="shared" si="45"/>
        <v>0</v>
      </c>
    </row>
    <row r="1457" spans="1:12">
      <c r="A1457" s="1566"/>
      <c r="B1457" s="209" t="s">
        <v>985</v>
      </c>
      <c r="C1457" s="581">
        <f>SUM(C1388:C1456)</f>
        <v>742614</v>
      </c>
      <c r="D1457" s="581">
        <f>SUM(D1388:D1456)</f>
        <v>460614</v>
      </c>
      <c r="E1457" s="581">
        <f>SUM(E1388:E1456)</f>
        <v>282000</v>
      </c>
      <c r="F1457" s="263">
        <f>SUM(F1388:F1396)</f>
        <v>0</v>
      </c>
      <c r="G1457" s="236">
        <f>SUM(G1388:G1396)</f>
        <v>0</v>
      </c>
      <c r="H1457" s="1497">
        <f t="shared" si="44"/>
        <v>0</v>
      </c>
      <c r="I1457" s="1497">
        <f t="shared" si="45"/>
        <v>1485228</v>
      </c>
      <c r="J1457" s="1440"/>
      <c r="K1457" s="1490"/>
      <c r="L1457" s="1490"/>
    </row>
    <row r="1458" spans="1:12" s="7" customFormat="1" ht="75">
      <c r="A1458" s="1554" t="s">
        <v>1156</v>
      </c>
      <c r="B1458" s="181" t="s">
        <v>772</v>
      </c>
      <c r="C1458" s="706">
        <v>400900</v>
      </c>
      <c r="D1458" s="706">
        <v>400900</v>
      </c>
      <c r="E1458" s="706"/>
      <c r="F1458" s="237"/>
      <c r="G1458" s="237"/>
      <c r="H1458" s="1497">
        <f t="shared" si="44"/>
        <v>0</v>
      </c>
      <c r="I1458" s="1497">
        <f t="shared" si="45"/>
        <v>801800</v>
      </c>
      <c r="J1458" s="1435"/>
      <c r="K1458" s="1491"/>
      <c r="L1458" s="1491"/>
    </row>
    <row r="1459" spans="1:12" s="7" customFormat="1" ht="37.5">
      <c r="A1459" s="1554"/>
      <c r="B1459" s="369" t="s">
        <v>1273</v>
      </c>
      <c r="C1459" s="654">
        <v>82679</v>
      </c>
      <c r="D1459" s="654">
        <v>82679</v>
      </c>
      <c r="E1459" s="255"/>
      <c r="F1459" s="232"/>
      <c r="G1459" s="232"/>
      <c r="H1459" s="1497">
        <f t="shared" si="44"/>
        <v>0</v>
      </c>
      <c r="I1459" s="1497">
        <f t="shared" si="45"/>
        <v>165358</v>
      </c>
      <c r="J1459" s="1435"/>
      <c r="K1459" s="1491"/>
      <c r="L1459" s="1491"/>
    </row>
    <row r="1460" spans="1:12" s="7" customFormat="1" ht="37.5">
      <c r="A1460" s="1554"/>
      <c r="B1460" s="226" t="s">
        <v>1363</v>
      </c>
      <c r="C1460" s="1214">
        <v>80000</v>
      </c>
      <c r="D1460" s="256">
        <v>80000</v>
      </c>
      <c r="E1460" s="256"/>
      <c r="F1460" s="232"/>
      <c r="G1460" s="232"/>
      <c r="H1460" s="1497">
        <f t="shared" si="44"/>
        <v>0</v>
      </c>
      <c r="I1460" s="1497">
        <f t="shared" si="45"/>
        <v>160000</v>
      </c>
      <c r="J1460" s="1435"/>
      <c r="K1460" s="1491"/>
      <c r="L1460" s="1491"/>
    </row>
    <row r="1461" spans="1:12" s="7" customFormat="1" hidden="1">
      <c r="A1461" s="1554"/>
      <c r="B1461" s="107"/>
      <c r="C1461" s="654"/>
      <c r="D1461" s="654"/>
      <c r="E1461" s="255"/>
      <c r="F1461" s="232"/>
      <c r="G1461" s="232"/>
      <c r="H1461" s="231">
        <f t="shared" si="44"/>
        <v>0</v>
      </c>
      <c r="I1461" s="231">
        <f t="shared" si="45"/>
        <v>0</v>
      </c>
    </row>
    <row r="1462" spans="1:12" s="7" customFormat="1" hidden="1">
      <c r="A1462" s="1554"/>
      <c r="B1462" s="107"/>
      <c r="C1462" s="654"/>
      <c r="D1462" s="654"/>
      <c r="E1462" s="255"/>
      <c r="F1462" s="232"/>
      <c r="G1462" s="232"/>
      <c r="H1462" s="231">
        <f t="shared" si="44"/>
        <v>0</v>
      </c>
      <c r="I1462" s="231">
        <f t="shared" si="45"/>
        <v>0</v>
      </c>
    </row>
    <row r="1463" spans="1:12" s="7" customFormat="1" hidden="1">
      <c r="A1463" s="1554"/>
      <c r="B1463" s="107"/>
      <c r="C1463" s="654"/>
      <c r="D1463" s="654"/>
      <c r="E1463" s="255"/>
      <c r="F1463" s="232"/>
      <c r="G1463" s="232"/>
      <c r="H1463" s="231">
        <f t="shared" si="44"/>
        <v>0</v>
      </c>
      <c r="I1463" s="231">
        <f t="shared" si="45"/>
        <v>0</v>
      </c>
    </row>
    <row r="1464" spans="1:12" s="7" customFormat="1" hidden="1">
      <c r="A1464" s="1554"/>
      <c r="B1464" s="107"/>
      <c r="C1464" s="654"/>
      <c r="D1464" s="654"/>
      <c r="E1464" s="255"/>
      <c r="F1464" s="232"/>
      <c r="G1464" s="232"/>
      <c r="H1464" s="231">
        <f t="shared" si="44"/>
        <v>0</v>
      </c>
      <c r="I1464" s="231">
        <f t="shared" si="45"/>
        <v>0</v>
      </c>
    </row>
    <row r="1465" spans="1:12" s="7" customFormat="1" hidden="1">
      <c r="A1465" s="1554"/>
      <c r="B1465" s="107"/>
      <c r="C1465" s="654"/>
      <c r="D1465" s="654"/>
      <c r="E1465" s="255"/>
      <c r="F1465" s="232"/>
      <c r="G1465" s="232"/>
      <c r="H1465" s="231">
        <f t="shared" si="44"/>
        <v>0</v>
      </c>
      <c r="I1465" s="231">
        <f t="shared" si="45"/>
        <v>0</v>
      </c>
    </row>
    <row r="1466" spans="1:12" s="7" customFormat="1" hidden="1">
      <c r="A1466" s="1554"/>
      <c r="B1466" s="107"/>
      <c r="C1466" s="654"/>
      <c r="D1466" s="654"/>
      <c r="E1466" s="255"/>
      <c r="F1466" s="232"/>
      <c r="G1466" s="232"/>
      <c r="H1466" s="231">
        <f t="shared" si="44"/>
        <v>0</v>
      </c>
      <c r="I1466" s="231">
        <f t="shared" si="45"/>
        <v>0</v>
      </c>
    </row>
    <row r="1467" spans="1:12" s="7" customFormat="1" hidden="1">
      <c r="A1467" s="1554"/>
      <c r="B1467" s="107"/>
      <c r="C1467" s="654"/>
      <c r="D1467" s="654"/>
      <c r="E1467" s="255"/>
      <c r="F1467" s="232"/>
      <c r="G1467" s="232"/>
      <c r="H1467" s="231">
        <f t="shared" si="44"/>
        <v>0</v>
      </c>
      <c r="I1467" s="231">
        <f t="shared" si="45"/>
        <v>0</v>
      </c>
    </row>
    <row r="1468" spans="1:12" s="7" customFormat="1" hidden="1">
      <c r="A1468" s="1554"/>
      <c r="B1468" s="107"/>
      <c r="C1468" s="654"/>
      <c r="D1468" s="654"/>
      <c r="E1468" s="255"/>
      <c r="F1468" s="232"/>
      <c r="G1468" s="232"/>
      <c r="H1468" s="231">
        <f t="shared" si="44"/>
        <v>0</v>
      </c>
      <c r="I1468" s="231">
        <f t="shared" si="45"/>
        <v>0</v>
      </c>
    </row>
    <row r="1469" spans="1:12" s="7" customFormat="1" hidden="1">
      <c r="A1469" s="1554"/>
      <c r="B1469" s="107"/>
      <c r="C1469" s="654"/>
      <c r="D1469" s="654"/>
      <c r="E1469" s="255"/>
      <c r="F1469" s="232"/>
      <c r="G1469" s="232"/>
      <c r="H1469" s="231">
        <f t="shared" si="44"/>
        <v>0</v>
      </c>
      <c r="I1469" s="231">
        <f t="shared" si="45"/>
        <v>0</v>
      </c>
    </row>
    <row r="1470" spans="1:12" s="7" customFormat="1" hidden="1">
      <c r="A1470" s="1554"/>
      <c r="B1470" s="107"/>
      <c r="C1470" s="654"/>
      <c r="D1470" s="654"/>
      <c r="E1470" s="255"/>
      <c r="F1470" s="232"/>
      <c r="G1470" s="232"/>
      <c r="H1470" s="231">
        <f t="shared" si="44"/>
        <v>0</v>
      </c>
      <c r="I1470" s="231">
        <f t="shared" si="45"/>
        <v>0</v>
      </c>
    </row>
    <row r="1471" spans="1:12" s="7" customFormat="1" hidden="1">
      <c r="A1471" s="1554"/>
      <c r="B1471" s="107"/>
      <c r="C1471" s="654"/>
      <c r="D1471" s="654"/>
      <c r="E1471" s="255"/>
      <c r="F1471" s="232"/>
      <c r="G1471" s="232"/>
      <c r="H1471" s="231">
        <f t="shared" si="44"/>
        <v>0</v>
      </c>
      <c r="I1471" s="231">
        <f t="shared" si="45"/>
        <v>0</v>
      </c>
    </row>
    <row r="1472" spans="1:12" s="7" customFormat="1" hidden="1">
      <c r="A1472" s="1554"/>
      <c r="B1472" s="107"/>
      <c r="C1472" s="654"/>
      <c r="D1472" s="654"/>
      <c r="E1472" s="255"/>
      <c r="F1472" s="232"/>
      <c r="G1472" s="232"/>
      <c r="H1472" s="231">
        <f t="shared" si="44"/>
        <v>0</v>
      </c>
      <c r="I1472" s="231">
        <f t="shared" si="45"/>
        <v>0</v>
      </c>
    </row>
    <row r="1473" spans="1:9" s="7" customFormat="1" hidden="1">
      <c r="A1473" s="1554"/>
      <c r="B1473" s="107"/>
      <c r="C1473" s="654"/>
      <c r="D1473" s="654"/>
      <c r="E1473" s="255"/>
      <c r="F1473" s="232"/>
      <c r="G1473" s="232"/>
      <c r="H1473" s="231">
        <f t="shared" si="44"/>
        <v>0</v>
      </c>
      <c r="I1473" s="231">
        <f t="shared" si="45"/>
        <v>0</v>
      </c>
    </row>
    <row r="1474" spans="1:9" s="7" customFormat="1" hidden="1">
      <c r="A1474" s="1554"/>
      <c r="B1474" s="107"/>
      <c r="C1474" s="654"/>
      <c r="D1474" s="654"/>
      <c r="E1474" s="255"/>
      <c r="F1474" s="232"/>
      <c r="G1474" s="232"/>
      <c r="H1474" s="231">
        <f t="shared" si="44"/>
        <v>0</v>
      </c>
      <c r="I1474" s="231">
        <f t="shared" si="45"/>
        <v>0</v>
      </c>
    </row>
    <row r="1475" spans="1:9" s="7" customFormat="1" hidden="1">
      <c r="A1475" s="1554"/>
      <c r="B1475" s="107"/>
      <c r="C1475" s="654"/>
      <c r="D1475" s="654"/>
      <c r="E1475" s="255"/>
      <c r="F1475" s="232"/>
      <c r="G1475" s="232"/>
      <c r="H1475" s="231">
        <f t="shared" si="44"/>
        <v>0</v>
      </c>
      <c r="I1475" s="231">
        <f t="shared" si="45"/>
        <v>0</v>
      </c>
    </row>
    <row r="1476" spans="1:9" s="7" customFormat="1" hidden="1">
      <c r="A1476" s="1554"/>
      <c r="B1476" s="107"/>
      <c r="C1476" s="654"/>
      <c r="D1476" s="654"/>
      <c r="E1476" s="255"/>
      <c r="F1476" s="232"/>
      <c r="G1476" s="232"/>
      <c r="H1476" s="231">
        <f t="shared" si="44"/>
        <v>0</v>
      </c>
      <c r="I1476" s="231">
        <f t="shared" si="45"/>
        <v>0</v>
      </c>
    </row>
    <row r="1477" spans="1:9" s="7" customFormat="1" hidden="1">
      <c r="A1477" s="1554"/>
      <c r="B1477" s="107"/>
      <c r="C1477" s="654"/>
      <c r="D1477" s="654"/>
      <c r="E1477" s="255"/>
      <c r="F1477" s="232"/>
      <c r="G1477" s="232"/>
      <c r="H1477" s="231">
        <f t="shared" si="44"/>
        <v>0</v>
      </c>
      <c r="I1477" s="231">
        <f t="shared" si="45"/>
        <v>0</v>
      </c>
    </row>
    <row r="1478" spans="1:9" s="85" customFormat="1" hidden="1">
      <c r="A1478" s="1554"/>
      <c r="B1478" s="116"/>
      <c r="C1478" s="679"/>
      <c r="D1478" s="679"/>
      <c r="E1478" s="707"/>
      <c r="F1478" s="239"/>
      <c r="G1478" s="239"/>
      <c r="H1478" s="231">
        <f t="shared" si="44"/>
        <v>0</v>
      </c>
      <c r="I1478" s="231">
        <f t="shared" si="45"/>
        <v>0</v>
      </c>
    </row>
    <row r="1479" spans="1:9" s="85" customFormat="1" hidden="1">
      <c r="A1479" s="1554"/>
      <c r="B1479" s="107"/>
      <c r="C1479" s="654"/>
      <c r="D1479" s="654"/>
      <c r="E1479" s="255"/>
      <c r="F1479" s="239"/>
      <c r="G1479" s="239"/>
      <c r="H1479" s="231">
        <f t="shared" si="44"/>
        <v>0</v>
      </c>
      <c r="I1479" s="231">
        <f t="shared" si="45"/>
        <v>0</v>
      </c>
    </row>
    <row r="1480" spans="1:9" s="85" customFormat="1" hidden="1">
      <c r="A1480" s="1554"/>
      <c r="B1480" s="107"/>
      <c r="C1480" s="255"/>
      <c r="D1480" s="255"/>
      <c r="E1480" s="255"/>
      <c r="F1480" s="239"/>
      <c r="G1480" s="239"/>
      <c r="H1480" s="231">
        <f t="shared" si="44"/>
        <v>0</v>
      </c>
      <c r="I1480" s="231">
        <f t="shared" si="45"/>
        <v>0</v>
      </c>
    </row>
    <row r="1481" spans="1:9" s="85" customFormat="1" hidden="1">
      <c r="A1481" s="1554"/>
      <c r="B1481" s="107"/>
      <c r="C1481" s="255"/>
      <c r="D1481" s="255"/>
      <c r="E1481" s="255"/>
      <c r="F1481" s="239"/>
      <c r="G1481" s="239"/>
      <c r="H1481" s="231">
        <f t="shared" ref="H1481:H1544" si="46">E1481+D1481-C1481</f>
        <v>0</v>
      </c>
      <c r="I1481" s="231">
        <f t="shared" ref="I1481:I1544" si="47">SUM(C1481:E1481)</f>
        <v>0</v>
      </c>
    </row>
    <row r="1482" spans="1:9" s="85" customFormat="1" hidden="1">
      <c r="A1482" s="1554"/>
      <c r="B1482" s="107"/>
      <c r="C1482" s="255"/>
      <c r="D1482" s="255"/>
      <c r="E1482" s="255"/>
      <c r="F1482" s="239"/>
      <c r="G1482" s="239"/>
      <c r="H1482" s="231">
        <f t="shared" si="46"/>
        <v>0</v>
      </c>
      <c r="I1482" s="231">
        <f t="shared" si="47"/>
        <v>0</v>
      </c>
    </row>
    <row r="1483" spans="1:9" s="85" customFormat="1" hidden="1">
      <c r="A1483" s="1554"/>
      <c r="B1483" s="107"/>
      <c r="C1483" s="255"/>
      <c r="D1483" s="255"/>
      <c r="E1483" s="255"/>
      <c r="F1483" s="239"/>
      <c r="G1483" s="239"/>
      <c r="H1483" s="231">
        <f t="shared" si="46"/>
        <v>0</v>
      </c>
      <c r="I1483" s="231">
        <f t="shared" si="47"/>
        <v>0</v>
      </c>
    </row>
    <row r="1484" spans="1:9" s="85" customFormat="1" hidden="1">
      <c r="A1484" s="1554"/>
      <c r="B1484" s="107"/>
      <c r="C1484" s="255"/>
      <c r="D1484" s="255"/>
      <c r="E1484" s="255"/>
      <c r="F1484" s="239"/>
      <c r="G1484" s="239"/>
      <c r="H1484" s="231">
        <f t="shared" si="46"/>
        <v>0</v>
      </c>
      <c r="I1484" s="231">
        <f t="shared" si="47"/>
        <v>0</v>
      </c>
    </row>
    <row r="1485" spans="1:9" s="85" customFormat="1" hidden="1">
      <c r="A1485" s="1554"/>
      <c r="B1485" s="107"/>
      <c r="C1485" s="255"/>
      <c r="D1485" s="255"/>
      <c r="E1485" s="255"/>
      <c r="F1485" s="239"/>
      <c r="G1485" s="239"/>
      <c r="H1485" s="231">
        <f t="shared" si="46"/>
        <v>0</v>
      </c>
      <c r="I1485" s="231">
        <f t="shared" si="47"/>
        <v>0</v>
      </c>
    </row>
    <row r="1486" spans="1:9" s="85" customFormat="1" hidden="1">
      <c r="A1486" s="1554"/>
      <c r="B1486" s="107"/>
      <c r="C1486" s="255"/>
      <c r="D1486" s="255"/>
      <c r="E1486" s="255"/>
      <c r="F1486" s="239"/>
      <c r="G1486" s="239"/>
      <c r="H1486" s="231">
        <f t="shared" si="46"/>
        <v>0</v>
      </c>
      <c r="I1486" s="231">
        <f t="shared" si="47"/>
        <v>0</v>
      </c>
    </row>
    <row r="1487" spans="1:9" s="85" customFormat="1" hidden="1">
      <c r="A1487" s="1554"/>
      <c r="B1487" s="107"/>
      <c r="C1487" s="255"/>
      <c r="D1487" s="255"/>
      <c r="E1487" s="255"/>
      <c r="F1487" s="239"/>
      <c r="G1487" s="239"/>
      <c r="H1487" s="231">
        <f t="shared" si="46"/>
        <v>0</v>
      </c>
      <c r="I1487" s="231">
        <f t="shared" si="47"/>
        <v>0</v>
      </c>
    </row>
    <row r="1488" spans="1:9" s="85" customFormat="1" hidden="1">
      <c r="A1488" s="1554"/>
      <c r="B1488" s="107"/>
      <c r="C1488" s="255"/>
      <c r="D1488" s="255"/>
      <c r="E1488" s="255"/>
      <c r="F1488" s="239"/>
      <c r="G1488" s="239"/>
      <c r="H1488" s="231">
        <f t="shared" si="46"/>
        <v>0</v>
      </c>
      <c r="I1488" s="231">
        <f t="shared" si="47"/>
        <v>0</v>
      </c>
    </row>
    <row r="1489" spans="1:9" s="85" customFormat="1" hidden="1">
      <c r="A1489" s="1554"/>
      <c r="B1489" s="107"/>
      <c r="C1489" s="255"/>
      <c r="D1489" s="255"/>
      <c r="E1489" s="255"/>
      <c r="F1489" s="239"/>
      <c r="G1489" s="239"/>
      <c r="H1489" s="231">
        <f t="shared" si="46"/>
        <v>0</v>
      </c>
      <c r="I1489" s="231">
        <f t="shared" si="47"/>
        <v>0</v>
      </c>
    </row>
    <row r="1490" spans="1:9" s="85" customFormat="1" hidden="1">
      <c r="A1490" s="1554"/>
      <c r="B1490" s="107"/>
      <c r="C1490" s="255"/>
      <c r="D1490" s="255"/>
      <c r="E1490" s="255"/>
      <c r="F1490" s="239"/>
      <c r="G1490" s="239"/>
      <c r="H1490" s="231">
        <f t="shared" si="46"/>
        <v>0</v>
      </c>
      <c r="I1490" s="231">
        <f t="shared" si="47"/>
        <v>0</v>
      </c>
    </row>
    <row r="1491" spans="1:9" s="85" customFormat="1" hidden="1">
      <c r="A1491" s="1554"/>
      <c r="B1491" s="107"/>
      <c r="C1491" s="654"/>
      <c r="D1491" s="654"/>
      <c r="E1491" s="255"/>
      <c r="F1491" s="239"/>
      <c r="G1491" s="239"/>
      <c r="H1491" s="231">
        <f t="shared" si="46"/>
        <v>0</v>
      </c>
      <c r="I1491" s="231">
        <f t="shared" si="47"/>
        <v>0</v>
      </c>
    </row>
    <row r="1492" spans="1:9" s="85" customFormat="1" hidden="1">
      <c r="A1492" s="1554"/>
      <c r="B1492" s="107"/>
      <c r="C1492" s="654"/>
      <c r="D1492" s="654"/>
      <c r="E1492" s="255"/>
      <c r="F1492" s="239"/>
      <c r="G1492" s="239"/>
      <c r="H1492" s="231">
        <f t="shared" si="46"/>
        <v>0</v>
      </c>
      <c r="I1492" s="231">
        <f t="shared" si="47"/>
        <v>0</v>
      </c>
    </row>
    <row r="1493" spans="1:9" s="85" customFormat="1" hidden="1">
      <c r="A1493" s="1554"/>
      <c r="B1493" s="107"/>
      <c r="C1493" s="654"/>
      <c r="D1493" s="654"/>
      <c r="E1493" s="255"/>
      <c r="F1493" s="239"/>
      <c r="G1493" s="239"/>
      <c r="H1493" s="231">
        <f t="shared" si="46"/>
        <v>0</v>
      </c>
      <c r="I1493" s="231">
        <f t="shared" si="47"/>
        <v>0</v>
      </c>
    </row>
    <row r="1494" spans="1:9" s="85" customFormat="1" hidden="1">
      <c r="A1494" s="1554"/>
      <c r="B1494" s="107"/>
      <c r="C1494" s="654"/>
      <c r="D1494" s="654"/>
      <c r="E1494" s="255"/>
      <c r="F1494" s="239"/>
      <c r="G1494" s="239"/>
      <c r="H1494" s="231">
        <f t="shared" si="46"/>
        <v>0</v>
      </c>
      <c r="I1494" s="231">
        <f t="shared" si="47"/>
        <v>0</v>
      </c>
    </row>
    <row r="1495" spans="1:9" s="85" customFormat="1" hidden="1">
      <c r="A1495" s="1554"/>
      <c r="B1495" s="107"/>
      <c r="C1495" s="654"/>
      <c r="D1495" s="654"/>
      <c r="E1495" s="255"/>
      <c r="F1495" s="239"/>
      <c r="G1495" s="239"/>
      <c r="H1495" s="231">
        <f t="shared" si="46"/>
        <v>0</v>
      </c>
      <c r="I1495" s="231">
        <f t="shared" si="47"/>
        <v>0</v>
      </c>
    </row>
    <row r="1496" spans="1:9" s="85" customFormat="1" hidden="1">
      <c r="A1496" s="1554"/>
      <c r="B1496" s="107"/>
      <c r="C1496" s="654"/>
      <c r="D1496" s="654"/>
      <c r="E1496" s="256"/>
      <c r="F1496" s="239"/>
      <c r="G1496" s="239"/>
      <c r="H1496" s="231">
        <f t="shared" si="46"/>
        <v>0</v>
      </c>
      <c r="I1496" s="231">
        <f t="shared" si="47"/>
        <v>0</v>
      </c>
    </row>
    <row r="1497" spans="1:9" s="85" customFormat="1" hidden="1">
      <c r="A1497" s="1554"/>
      <c r="B1497" s="107"/>
      <c r="C1497" s="654"/>
      <c r="D1497" s="654"/>
      <c r="E1497" s="256"/>
      <c r="F1497" s="239"/>
      <c r="G1497" s="239"/>
      <c r="H1497" s="231">
        <f t="shared" si="46"/>
        <v>0</v>
      </c>
      <c r="I1497" s="231">
        <f t="shared" si="47"/>
        <v>0</v>
      </c>
    </row>
    <row r="1498" spans="1:9" s="85" customFormat="1" hidden="1">
      <c r="A1498" s="1554"/>
      <c r="B1498" s="107"/>
      <c r="C1498" s="654"/>
      <c r="D1498" s="654"/>
      <c r="E1498" s="256"/>
      <c r="F1498" s="239"/>
      <c r="G1498" s="239"/>
      <c r="H1498" s="231">
        <f t="shared" si="46"/>
        <v>0</v>
      </c>
      <c r="I1498" s="231">
        <f t="shared" si="47"/>
        <v>0</v>
      </c>
    </row>
    <row r="1499" spans="1:9" s="85" customFormat="1" hidden="1">
      <c r="A1499" s="1554"/>
      <c r="B1499" s="107"/>
      <c r="C1499" s="654"/>
      <c r="D1499" s="654"/>
      <c r="E1499" s="256"/>
      <c r="F1499" s="239"/>
      <c r="G1499" s="239"/>
      <c r="H1499" s="231">
        <f t="shared" si="46"/>
        <v>0</v>
      </c>
      <c r="I1499" s="231">
        <f t="shared" si="47"/>
        <v>0</v>
      </c>
    </row>
    <row r="1500" spans="1:9" s="85" customFormat="1" hidden="1">
      <c r="A1500" s="1554"/>
      <c r="B1500" s="107"/>
      <c r="C1500" s="654"/>
      <c r="D1500" s="654"/>
      <c r="E1500" s="256"/>
      <c r="F1500" s="239"/>
      <c r="G1500" s="239"/>
      <c r="H1500" s="231">
        <f t="shared" si="46"/>
        <v>0</v>
      </c>
      <c r="I1500" s="231">
        <f t="shared" si="47"/>
        <v>0</v>
      </c>
    </row>
    <row r="1501" spans="1:9" s="85" customFormat="1" hidden="1">
      <c r="A1501" s="1554"/>
      <c r="B1501" s="107"/>
      <c r="C1501" s="654"/>
      <c r="D1501" s="654"/>
      <c r="E1501" s="256"/>
      <c r="F1501" s="239"/>
      <c r="G1501" s="239"/>
      <c r="H1501" s="231">
        <f t="shared" si="46"/>
        <v>0</v>
      </c>
      <c r="I1501" s="231">
        <f t="shared" si="47"/>
        <v>0</v>
      </c>
    </row>
    <row r="1502" spans="1:9" s="85" customFormat="1" hidden="1">
      <c r="A1502" s="1554"/>
      <c r="B1502" s="107"/>
      <c r="C1502" s="654"/>
      <c r="D1502" s="654"/>
      <c r="E1502" s="256"/>
      <c r="F1502" s="239"/>
      <c r="G1502" s="239"/>
      <c r="H1502" s="231">
        <f t="shared" si="46"/>
        <v>0</v>
      </c>
      <c r="I1502" s="231">
        <f t="shared" si="47"/>
        <v>0</v>
      </c>
    </row>
    <row r="1503" spans="1:9" s="85" customFormat="1" hidden="1">
      <c r="A1503" s="1554"/>
      <c r="B1503" s="107"/>
      <c r="C1503" s="654"/>
      <c r="D1503" s="654"/>
      <c r="E1503" s="256"/>
      <c r="F1503" s="239"/>
      <c r="G1503" s="239"/>
      <c r="H1503" s="231">
        <f t="shared" si="46"/>
        <v>0</v>
      </c>
      <c r="I1503" s="231">
        <f t="shared" si="47"/>
        <v>0</v>
      </c>
    </row>
    <row r="1504" spans="1:9" s="85" customFormat="1" hidden="1">
      <c r="A1504" s="1554"/>
      <c r="B1504" s="107"/>
      <c r="C1504" s="654"/>
      <c r="D1504" s="654"/>
      <c r="E1504" s="256"/>
      <c r="F1504" s="239"/>
      <c r="G1504" s="239"/>
      <c r="H1504" s="231">
        <f t="shared" si="46"/>
        <v>0</v>
      </c>
      <c r="I1504" s="231">
        <f t="shared" si="47"/>
        <v>0</v>
      </c>
    </row>
    <row r="1505" spans="1:9" s="85" customFormat="1" hidden="1">
      <c r="A1505" s="1554"/>
      <c r="B1505" s="107"/>
      <c r="C1505" s="654"/>
      <c r="D1505" s="654"/>
      <c r="E1505" s="256"/>
      <c r="F1505" s="239"/>
      <c r="G1505" s="239"/>
      <c r="H1505" s="231">
        <f t="shared" si="46"/>
        <v>0</v>
      </c>
      <c r="I1505" s="231">
        <f t="shared" si="47"/>
        <v>0</v>
      </c>
    </row>
    <row r="1506" spans="1:9" s="85" customFormat="1" hidden="1">
      <c r="A1506" s="1554"/>
      <c r="B1506" s="181"/>
      <c r="C1506" s="654"/>
      <c r="D1506" s="654"/>
      <c r="E1506" s="655"/>
      <c r="F1506" s="239"/>
      <c r="G1506" s="239"/>
      <c r="H1506" s="231">
        <f t="shared" si="46"/>
        <v>0</v>
      </c>
      <c r="I1506" s="231">
        <f t="shared" si="47"/>
        <v>0</v>
      </c>
    </row>
    <row r="1507" spans="1:9" s="85" customFormat="1" hidden="1">
      <c r="A1507" s="1554"/>
      <c r="B1507" s="186"/>
      <c r="C1507" s="708"/>
      <c r="D1507" s="708"/>
      <c r="E1507" s="655"/>
      <c r="F1507" s="239"/>
      <c r="G1507" s="239"/>
      <c r="H1507" s="231">
        <f t="shared" si="46"/>
        <v>0</v>
      </c>
      <c r="I1507" s="231">
        <f t="shared" si="47"/>
        <v>0</v>
      </c>
    </row>
    <row r="1508" spans="1:9" s="85" customFormat="1" hidden="1">
      <c r="A1508" s="1554"/>
      <c r="B1508" s="181"/>
      <c r="C1508" s="654"/>
      <c r="D1508" s="654"/>
      <c r="E1508" s="655"/>
      <c r="F1508" s="239"/>
      <c r="G1508" s="239"/>
      <c r="H1508" s="231">
        <f t="shared" si="46"/>
        <v>0</v>
      </c>
      <c r="I1508" s="231">
        <f t="shared" si="47"/>
        <v>0</v>
      </c>
    </row>
    <row r="1509" spans="1:9" s="85" customFormat="1" hidden="1">
      <c r="A1509" s="1554"/>
      <c r="B1509" s="181"/>
      <c r="C1509" s="654"/>
      <c r="D1509" s="654"/>
      <c r="E1509" s="655"/>
      <c r="F1509" s="239"/>
      <c r="G1509" s="239"/>
      <c r="H1509" s="231">
        <f t="shared" si="46"/>
        <v>0</v>
      </c>
      <c r="I1509" s="231">
        <f t="shared" si="47"/>
        <v>0</v>
      </c>
    </row>
    <row r="1510" spans="1:9" s="85" customFormat="1" hidden="1">
      <c r="A1510" s="1554"/>
      <c r="B1510" s="181"/>
      <c r="C1510" s="654"/>
      <c r="D1510" s="654"/>
      <c r="E1510" s="655"/>
      <c r="F1510" s="239"/>
      <c r="G1510" s="239"/>
      <c r="H1510" s="231">
        <f t="shared" si="46"/>
        <v>0</v>
      </c>
      <c r="I1510" s="231">
        <f t="shared" si="47"/>
        <v>0</v>
      </c>
    </row>
    <row r="1511" spans="1:9" s="85" customFormat="1" hidden="1">
      <c r="A1511" s="1554"/>
      <c r="B1511" s="181"/>
      <c r="C1511" s="654"/>
      <c r="D1511" s="654"/>
      <c r="E1511" s="655"/>
      <c r="F1511" s="239"/>
      <c r="G1511" s="239"/>
      <c r="H1511" s="231">
        <f t="shared" si="46"/>
        <v>0</v>
      </c>
      <c r="I1511" s="231">
        <f t="shared" si="47"/>
        <v>0</v>
      </c>
    </row>
    <row r="1512" spans="1:9" s="85" customFormat="1" hidden="1">
      <c r="A1512" s="1554"/>
      <c r="B1512" s="181"/>
      <c r="C1512" s="654"/>
      <c r="D1512" s="654"/>
      <c r="E1512" s="655"/>
      <c r="F1512" s="239"/>
      <c r="G1512" s="239"/>
      <c r="H1512" s="231">
        <f t="shared" si="46"/>
        <v>0</v>
      </c>
      <c r="I1512" s="231">
        <f t="shared" si="47"/>
        <v>0</v>
      </c>
    </row>
    <row r="1513" spans="1:9" s="85" customFormat="1" hidden="1">
      <c r="A1513" s="1554"/>
      <c r="B1513" s="181"/>
      <c r="C1513" s="654"/>
      <c r="D1513" s="654"/>
      <c r="E1513" s="655"/>
      <c r="F1513" s="239"/>
      <c r="G1513" s="239"/>
      <c r="H1513" s="231">
        <f t="shared" si="46"/>
        <v>0</v>
      </c>
      <c r="I1513" s="231">
        <f t="shared" si="47"/>
        <v>0</v>
      </c>
    </row>
    <row r="1514" spans="1:9" s="85" customFormat="1" hidden="1">
      <c r="A1514" s="1554"/>
      <c r="B1514" s="181"/>
      <c r="C1514" s="654"/>
      <c r="D1514" s="654"/>
      <c r="E1514" s="655"/>
      <c r="F1514" s="239"/>
      <c r="G1514" s="239"/>
      <c r="H1514" s="231">
        <f t="shared" si="46"/>
        <v>0</v>
      </c>
      <c r="I1514" s="231">
        <f t="shared" si="47"/>
        <v>0</v>
      </c>
    </row>
    <row r="1515" spans="1:9" s="85" customFormat="1" hidden="1">
      <c r="A1515" s="1554"/>
      <c r="B1515" s="181"/>
      <c r="C1515" s="654"/>
      <c r="D1515" s="654"/>
      <c r="E1515" s="655"/>
      <c r="F1515" s="239"/>
      <c r="G1515" s="239"/>
      <c r="H1515" s="231">
        <f t="shared" si="46"/>
        <v>0</v>
      </c>
      <c r="I1515" s="231">
        <f t="shared" si="47"/>
        <v>0</v>
      </c>
    </row>
    <row r="1516" spans="1:9" s="85" customFormat="1" hidden="1">
      <c r="A1516" s="1554"/>
      <c r="B1516" s="181"/>
      <c r="C1516" s="654"/>
      <c r="D1516" s="654"/>
      <c r="E1516" s="655"/>
      <c r="F1516" s="239"/>
      <c r="G1516" s="239"/>
      <c r="H1516" s="231">
        <f t="shared" si="46"/>
        <v>0</v>
      </c>
      <c r="I1516" s="231">
        <f t="shared" si="47"/>
        <v>0</v>
      </c>
    </row>
    <row r="1517" spans="1:9" s="85" customFormat="1" hidden="1">
      <c r="A1517" s="1554"/>
      <c r="B1517" s="181"/>
      <c r="C1517" s="654"/>
      <c r="D1517" s="654"/>
      <c r="E1517" s="655"/>
      <c r="F1517" s="239"/>
      <c r="G1517" s="239"/>
      <c r="H1517" s="231">
        <f t="shared" si="46"/>
        <v>0</v>
      </c>
      <c r="I1517" s="231">
        <f t="shared" si="47"/>
        <v>0</v>
      </c>
    </row>
    <row r="1518" spans="1:9" s="85" customFormat="1" hidden="1">
      <c r="A1518" s="1554"/>
      <c r="B1518" s="181"/>
      <c r="C1518" s="654"/>
      <c r="D1518" s="654"/>
      <c r="E1518" s="655"/>
      <c r="F1518" s="239"/>
      <c r="G1518" s="239"/>
      <c r="H1518" s="231">
        <f t="shared" si="46"/>
        <v>0</v>
      </c>
      <c r="I1518" s="231">
        <f t="shared" si="47"/>
        <v>0</v>
      </c>
    </row>
    <row r="1519" spans="1:9" s="85" customFormat="1" hidden="1">
      <c r="A1519" s="1554"/>
      <c r="B1519" s="181"/>
      <c r="C1519" s="654"/>
      <c r="D1519" s="654"/>
      <c r="E1519" s="655"/>
      <c r="F1519" s="239"/>
      <c r="G1519" s="239"/>
      <c r="H1519" s="231">
        <f t="shared" si="46"/>
        <v>0</v>
      </c>
      <c r="I1519" s="231">
        <f t="shared" si="47"/>
        <v>0</v>
      </c>
    </row>
    <row r="1520" spans="1:9" s="85" customFormat="1" hidden="1">
      <c r="A1520" s="1554"/>
      <c r="B1520" s="181"/>
      <c r="C1520" s="654"/>
      <c r="D1520" s="654"/>
      <c r="E1520" s="655"/>
      <c r="F1520" s="239"/>
      <c r="G1520" s="239"/>
      <c r="H1520" s="231">
        <f t="shared" si="46"/>
        <v>0</v>
      </c>
      <c r="I1520" s="231">
        <f t="shared" si="47"/>
        <v>0</v>
      </c>
    </row>
    <row r="1521" spans="1:12" s="85" customFormat="1" hidden="1">
      <c r="A1521" s="1554"/>
      <c r="B1521" s="181"/>
      <c r="C1521" s="654"/>
      <c r="D1521" s="654"/>
      <c r="E1521" s="655"/>
      <c r="F1521" s="239"/>
      <c r="G1521" s="239"/>
      <c r="H1521" s="231">
        <f t="shared" si="46"/>
        <v>0</v>
      </c>
      <c r="I1521" s="231">
        <f t="shared" si="47"/>
        <v>0</v>
      </c>
    </row>
    <row r="1522" spans="1:12" s="85" customFormat="1" hidden="1">
      <c r="A1522" s="1554"/>
      <c r="B1522" s="181"/>
      <c r="C1522" s="654"/>
      <c r="D1522" s="654"/>
      <c r="E1522" s="655"/>
      <c r="F1522" s="239"/>
      <c r="G1522" s="239"/>
      <c r="H1522" s="231">
        <f t="shared" si="46"/>
        <v>0</v>
      </c>
      <c r="I1522" s="231">
        <f t="shared" si="47"/>
        <v>0</v>
      </c>
    </row>
    <row r="1523" spans="1:12" s="85" customFormat="1" hidden="1">
      <c r="A1523" s="1554"/>
      <c r="B1523" s="181"/>
      <c r="C1523" s="654"/>
      <c r="D1523" s="654"/>
      <c r="E1523" s="655"/>
      <c r="F1523" s="239"/>
      <c r="G1523" s="239"/>
      <c r="H1523" s="231">
        <f t="shared" si="46"/>
        <v>0</v>
      </c>
      <c r="I1523" s="231">
        <f t="shared" si="47"/>
        <v>0</v>
      </c>
    </row>
    <row r="1524" spans="1:12" s="85" customFormat="1" hidden="1">
      <c r="A1524" s="1554"/>
      <c r="B1524" s="181"/>
      <c r="C1524" s="654"/>
      <c r="D1524" s="654"/>
      <c r="E1524" s="655"/>
      <c r="F1524" s="239"/>
      <c r="G1524" s="239"/>
      <c r="H1524" s="231">
        <f t="shared" si="46"/>
        <v>0</v>
      </c>
      <c r="I1524" s="231">
        <f t="shared" si="47"/>
        <v>0</v>
      </c>
    </row>
    <row r="1525" spans="1:12" s="85" customFormat="1" hidden="1">
      <c r="A1525" s="1554"/>
      <c r="B1525" s="181"/>
      <c r="C1525" s="654"/>
      <c r="D1525" s="654"/>
      <c r="E1525" s="655"/>
      <c r="F1525" s="239"/>
      <c r="G1525" s="239"/>
      <c r="H1525" s="231">
        <f t="shared" si="46"/>
        <v>0</v>
      </c>
      <c r="I1525" s="231">
        <f t="shared" si="47"/>
        <v>0</v>
      </c>
    </row>
    <row r="1526" spans="1:12" s="85" customFormat="1" hidden="1">
      <c r="A1526" s="1554"/>
      <c r="B1526" s="181"/>
      <c r="C1526" s="654"/>
      <c r="D1526" s="654"/>
      <c r="E1526" s="655"/>
      <c r="F1526" s="239"/>
      <c r="G1526" s="239"/>
      <c r="H1526" s="231">
        <f t="shared" si="46"/>
        <v>0</v>
      </c>
      <c r="I1526" s="231">
        <f t="shared" si="47"/>
        <v>0</v>
      </c>
    </row>
    <row r="1527" spans="1:12" s="85" customFormat="1" hidden="1">
      <c r="A1527" s="1554"/>
      <c r="B1527" s="181"/>
      <c r="C1527" s="654"/>
      <c r="D1527" s="654"/>
      <c r="E1527" s="655"/>
      <c r="F1527" s="239"/>
      <c r="G1527" s="239"/>
      <c r="H1527" s="231">
        <f t="shared" si="46"/>
        <v>0</v>
      </c>
      <c r="I1527" s="231">
        <f t="shared" si="47"/>
        <v>0</v>
      </c>
    </row>
    <row r="1528" spans="1:12" s="85" customFormat="1" hidden="1">
      <c r="A1528" s="1554"/>
      <c r="B1528" s="181"/>
      <c r="C1528" s="654"/>
      <c r="D1528" s="654"/>
      <c r="E1528" s="655"/>
      <c r="F1528" s="239"/>
      <c r="G1528" s="239"/>
      <c r="H1528" s="231">
        <f t="shared" si="46"/>
        <v>0</v>
      </c>
      <c r="I1528" s="231">
        <f t="shared" si="47"/>
        <v>0</v>
      </c>
    </row>
    <row r="1529" spans="1:12" s="85" customFormat="1" hidden="1">
      <c r="A1529" s="1554"/>
      <c r="B1529" s="181"/>
      <c r="C1529" s="654"/>
      <c r="D1529" s="654"/>
      <c r="E1529" s="655"/>
      <c r="F1529" s="239"/>
      <c r="G1529" s="239"/>
      <c r="H1529" s="231">
        <f t="shared" si="46"/>
        <v>0</v>
      </c>
      <c r="I1529" s="231">
        <f t="shared" si="47"/>
        <v>0</v>
      </c>
    </row>
    <row r="1530" spans="1:12" s="85" customFormat="1" hidden="1">
      <c r="A1530" s="1554"/>
      <c r="B1530" s="181"/>
      <c r="C1530" s="654"/>
      <c r="D1530" s="654"/>
      <c r="E1530" s="655"/>
      <c r="F1530" s="239"/>
      <c r="G1530" s="239"/>
      <c r="H1530" s="231">
        <f t="shared" si="46"/>
        <v>0</v>
      </c>
      <c r="I1530" s="231">
        <f t="shared" si="47"/>
        <v>0</v>
      </c>
    </row>
    <row r="1531" spans="1:12" s="85" customFormat="1" hidden="1">
      <c r="A1531" s="1554"/>
      <c r="B1531" s="181"/>
      <c r="C1531" s="654"/>
      <c r="D1531" s="654"/>
      <c r="E1531" s="655"/>
      <c r="F1531" s="239"/>
      <c r="G1531" s="239"/>
      <c r="H1531" s="231">
        <f t="shared" si="46"/>
        <v>0</v>
      </c>
      <c r="I1531" s="231">
        <f t="shared" si="47"/>
        <v>0</v>
      </c>
    </row>
    <row r="1532" spans="1:12" s="85" customFormat="1" hidden="1">
      <c r="A1532" s="1554"/>
      <c r="B1532" s="181"/>
      <c r="C1532" s="654"/>
      <c r="D1532" s="654"/>
      <c r="E1532" s="655"/>
      <c r="F1532" s="239"/>
      <c r="G1532" s="239"/>
      <c r="H1532" s="231">
        <f t="shared" si="46"/>
        <v>0</v>
      </c>
      <c r="I1532" s="231">
        <f t="shared" si="47"/>
        <v>0</v>
      </c>
    </row>
    <row r="1533" spans="1:12" s="85" customFormat="1" hidden="1">
      <c r="A1533" s="1554"/>
      <c r="B1533" s="181"/>
      <c r="C1533" s="654"/>
      <c r="D1533" s="654"/>
      <c r="E1533" s="655"/>
      <c r="F1533" s="239"/>
      <c r="G1533" s="239"/>
      <c r="H1533" s="231">
        <f t="shared" si="46"/>
        <v>0</v>
      </c>
      <c r="I1533" s="231">
        <f t="shared" si="47"/>
        <v>0</v>
      </c>
    </row>
    <row r="1534" spans="1:12" s="85" customFormat="1" hidden="1">
      <c r="A1534" s="1554"/>
      <c r="B1534" s="107"/>
      <c r="C1534" s="654"/>
      <c r="D1534" s="654"/>
      <c r="E1534" s="256"/>
      <c r="F1534" s="239"/>
      <c r="G1534" s="239"/>
      <c r="H1534" s="231">
        <f t="shared" si="46"/>
        <v>0</v>
      </c>
      <c r="I1534" s="231">
        <f t="shared" si="47"/>
        <v>0</v>
      </c>
    </row>
    <row r="1535" spans="1:12" s="7" customFormat="1">
      <c r="A1535" s="1554"/>
      <c r="B1535" s="271" t="s">
        <v>985</v>
      </c>
      <c r="C1535" s="709">
        <f>SUM(C1458:C1534)</f>
        <v>563579</v>
      </c>
      <c r="D1535" s="709">
        <f>SUM(D1458:D1534)</f>
        <v>563579</v>
      </c>
      <c r="E1535" s="709">
        <f>SUM(E1458:E1534)</f>
        <v>0</v>
      </c>
      <c r="F1535" s="236">
        <f>SUM(F1458:F1479)</f>
        <v>0</v>
      </c>
      <c r="G1535" s="236">
        <f>SUM(G1458:G1479)</f>
        <v>0</v>
      </c>
      <c r="H1535" s="1497">
        <f t="shared" si="46"/>
        <v>0</v>
      </c>
      <c r="I1535" s="1497">
        <f t="shared" si="47"/>
        <v>1127158</v>
      </c>
      <c r="J1535" s="1435"/>
      <c r="K1535" s="1491"/>
      <c r="L1535" s="1491"/>
    </row>
    <row r="1536" spans="1:12" ht="75">
      <c r="A1536" s="1566" t="s">
        <v>1157</v>
      </c>
      <c r="B1536" s="181" t="s">
        <v>772</v>
      </c>
      <c r="C1536" s="644">
        <v>268900</v>
      </c>
      <c r="D1536" s="589">
        <v>268900</v>
      </c>
      <c r="E1536" s="644"/>
      <c r="F1536" s="237"/>
      <c r="G1536" s="237"/>
      <c r="H1536" s="1497">
        <f t="shared" si="46"/>
        <v>0</v>
      </c>
      <c r="I1536" s="1497">
        <f t="shared" si="47"/>
        <v>537800</v>
      </c>
      <c r="J1536" s="1440"/>
      <c r="K1536" s="1490"/>
      <c r="L1536" s="1490"/>
    </row>
    <row r="1537" spans="1:12" ht="112.5">
      <c r="A1537" s="1566"/>
      <c r="B1537" s="107" t="s">
        <v>773</v>
      </c>
      <c r="C1537" s="589">
        <v>150000</v>
      </c>
      <c r="D1537" s="589"/>
      <c r="E1537" s="644">
        <v>150000</v>
      </c>
      <c r="F1537" s="237"/>
      <c r="G1537" s="237"/>
      <c r="H1537" s="1497">
        <f t="shared" si="46"/>
        <v>0</v>
      </c>
      <c r="I1537" s="1497">
        <f t="shared" si="47"/>
        <v>300000</v>
      </c>
      <c r="J1537" s="1440"/>
      <c r="K1537" s="1490"/>
      <c r="L1537" s="1490"/>
    </row>
    <row r="1538" spans="1:12" ht="37.5">
      <c r="A1538" s="1566"/>
      <c r="B1538" s="369" t="s">
        <v>1273</v>
      </c>
      <c r="C1538" s="589">
        <v>445483</v>
      </c>
      <c r="D1538" s="589">
        <v>445483</v>
      </c>
      <c r="E1538" s="510"/>
      <c r="F1538" s="237"/>
      <c r="G1538" s="237"/>
      <c r="H1538" s="1497">
        <f t="shared" si="46"/>
        <v>0</v>
      </c>
      <c r="I1538" s="1497">
        <f t="shared" si="47"/>
        <v>890966</v>
      </c>
      <c r="J1538" s="1440"/>
      <c r="K1538" s="1490"/>
      <c r="L1538" s="1490"/>
    </row>
    <row r="1539" spans="1:12" ht="37.5">
      <c r="A1539" s="1566"/>
      <c r="B1539" s="1215" t="s">
        <v>1364</v>
      </c>
      <c r="C1539" s="1214">
        <v>50000</v>
      </c>
      <c r="D1539" s="256">
        <v>50000</v>
      </c>
      <c r="E1539" s="256"/>
      <c r="F1539" s="237"/>
      <c r="G1539" s="237"/>
      <c r="H1539" s="1497">
        <f t="shared" si="46"/>
        <v>0</v>
      </c>
      <c r="I1539" s="1497">
        <f t="shared" si="47"/>
        <v>100000</v>
      </c>
      <c r="J1539" s="1440"/>
      <c r="K1539" s="1490"/>
      <c r="L1539" s="1490"/>
    </row>
    <row r="1540" spans="1:12" ht="56.25">
      <c r="A1540" s="1566"/>
      <c r="B1540" s="1215" t="s">
        <v>1365</v>
      </c>
      <c r="C1540" s="1214">
        <v>50000</v>
      </c>
      <c r="D1540" s="256">
        <v>50000</v>
      </c>
      <c r="E1540" s="256"/>
      <c r="F1540" s="237"/>
      <c r="G1540" s="237"/>
      <c r="H1540" s="1497">
        <f t="shared" si="46"/>
        <v>0</v>
      </c>
      <c r="I1540" s="1497">
        <f t="shared" si="47"/>
        <v>100000</v>
      </c>
      <c r="J1540" s="1440"/>
      <c r="K1540" s="1490"/>
      <c r="L1540" s="1490"/>
    </row>
    <row r="1541" spans="1:12" ht="37.5">
      <c r="A1541" s="1566"/>
      <c r="B1541" s="1215" t="s">
        <v>1366</v>
      </c>
      <c r="C1541" s="1214">
        <v>40000</v>
      </c>
      <c r="D1541" s="256"/>
      <c r="E1541" s="256">
        <v>40000</v>
      </c>
      <c r="F1541" s="237"/>
      <c r="G1541" s="237"/>
      <c r="H1541" s="1497">
        <f t="shared" si="46"/>
        <v>0</v>
      </c>
      <c r="I1541" s="1497">
        <f t="shared" si="47"/>
        <v>80000</v>
      </c>
      <c r="J1541" s="1440"/>
      <c r="K1541" s="1490"/>
      <c r="L1541" s="1490"/>
    </row>
    <row r="1542" spans="1:12" ht="37.5">
      <c r="A1542" s="1566"/>
      <c r="B1542" s="1215" t="s">
        <v>1367</v>
      </c>
      <c r="C1542" s="1214">
        <v>30000</v>
      </c>
      <c r="D1542" s="256"/>
      <c r="E1542" s="256">
        <v>30000</v>
      </c>
      <c r="F1542" s="237"/>
      <c r="G1542" s="237"/>
      <c r="H1542" s="1497">
        <f t="shared" si="46"/>
        <v>0</v>
      </c>
      <c r="I1542" s="1497">
        <f t="shared" si="47"/>
        <v>60000</v>
      </c>
      <c r="J1542" s="1440"/>
      <c r="K1542" s="1490"/>
      <c r="L1542" s="1490"/>
    </row>
    <row r="1543" spans="1:12" ht="93.75">
      <c r="A1543" s="1566"/>
      <c r="B1543" s="1215" t="s">
        <v>1368</v>
      </c>
      <c r="C1543" s="1214">
        <v>450000</v>
      </c>
      <c r="D1543" s="256"/>
      <c r="E1543" s="256">
        <v>450000</v>
      </c>
      <c r="F1543" s="237"/>
      <c r="G1543" s="237"/>
      <c r="H1543" s="1497">
        <f t="shared" si="46"/>
        <v>0</v>
      </c>
      <c r="I1543" s="1497">
        <f t="shared" si="47"/>
        <v>900000</v>
      </c>
      <c r="J1543" s="1440"/>
      <c r="K1543" s="1490"/>
      <c r="L1543" s="1490"/>
    </row>
    <row r="1544" spans="1:12" ht="37.5">
      <c r="A1544" s="1566"/>
      <c r="B1544" s="107" t="s">
        <v>1622</v>
      </c>
      <c r="C1544" s="817">
        <v>12112</v>
      </c>
      <c r="D1544" s="817"/>
      <c r="E1544" s="184">
        <v>12112</v>
      </c>
      <c r="F1544" s="237"/>
      <c r="G1544" s="237"/>
      <c r="H1544" s="1497">
        <f t="shared" si="46"/>
        <v>0</v>
      </c>
      <c r="I1544" s="1497">
        <f t="shared" si="47"/>
        <v>24224</v>
      </c>
      <c r="J1544" s="1440"/>
      <c r="K1544" s="1490"/>
      <c r="L1544" s="1490"/>
    </row>
    <row r="1545" spans="1:12" ht="300">
      <c r="A1545" s="1566"/>
      <c r="B1545" s="425" t="s">
        <v>1623</v>
      </c>
      <c r="C1545" s="817">
        <v>62000</v>
      </c>
      <c r="D1545" s="817">
        <v>62000</v>
      </c>
      <c r="E1545" s="184"/>
      <c r="F1545" s="237"/>
      <c r="G1545" s="237"/>
      <c r="H1545" s="1497">
        <f t="shared" ref="H1545:H1608" si="48">E1545+D1545-C1545</f>
        <v>0</v>
      </c>
      <c r="I1545" s="1497">
        <f t="shared" ref="I1545:I1608" si="49">SUM(C1545:E1545)</f>
        <v>124000</v>
      </c>
      <c r="J1545" s="1440"/>
      <c r="K1545" s="1490"/>
      <c r="L1545" s="1490"/>
    </row>
    <row r="1546" spans="1:12" ht="150">
      <c r="A1546" s="1566"/>
      <c r="B1546" s="425" t="s">
        <v>1624</v>
      </c>
      <c r="C1546" s="817">
        <v>20000</v>
      </c>
      <c r="D1546" s="817">
        <v>20000</v>
      </c>
      <c r="E1546" s="184"/>
      <c r="F1546" s="237"/>
      <c r="G1546" s="237"/>
      <c r="H1546" s="1497">
        <f t="shared" si="48"/>
        <v>0</v>
      </c>
      <c r="I1546" s="1497">
        <f t="shared" si="49"/>
        <v>40000</v>
      </c>
      <c r="J1546" s="1440"/>
      <c r="K1546" s="1490"/>
      <c r="L1546" s="1490"/>
    </row>
    <row r="1547" spans="1:12" ht="75">
      <c r="A1547" s="1566"/>
      <c r="B1547" s="425" t="s">
        <v>1625</v>
      </c>
      <c r="C1547" s="817">
        <v>15000</v>
      </c>
      <c r="D1547" s="817"/>
      <c r="E1547" s="184">
        <v>15000</v>
      </c>
      <c r="F1547" s="237"/>
      <c r="G1547" s="237"/>
      <c r="H1547" s="1497">
        <f t="shared" si="48"/>
        <v>0</v>
      </c>
      <c r="I1547" s="1497">
        <f t="shared" si="49"/>
        <v>30000</v>
      </c>
      <c r="J1547" s="1440"/>
      <c r="K1547" s="1490"/>
      <c r="L1547" s="1490"/>
    </row>
    <row r="1548" spans="1:12" ht="75">
      <c r="A1548" s="1566"/>
      <c r="B1548" s="425" t="s">
        <v>1626</v>
      </c>
      <c r="C1548" s="817">
        <v>7000</v>
      </c>
      <c r="D1548" s="817">
        <v>7000</v>
      </c>
      <c r="E1548" s="184"/>
      <c r="F1548" s="237"/>
      <c r="G1548" s="237"/>
      <c r="H1548" s="1497">
        <f t="shared" si="48"/>
        <v>0</v>
      </c>
      <c r="I1548" s="1497">
        <f t="shared" si="49"/>
        <v>14000</v>
      </c>
      <c r="J1548" s="1440"/>
      <c r="K1548" s="1490"/>
      <c r="L1548" s="1490"/>
    </row>
    <row r="1549" spans="1:12" ht="93.75">
      <c r="A1549" s="1566"/>
      <c r="B1549" s="425" t="s">
        <v>1627</v>
      </c>
      <c r="C1549" s="817">
        <v>21000</v>
      </c>
      <c r="D1549" s="641"/>
      <c r="E1549" s="1234">
        <v>21000</v>
      </c>
      <c r="F1549" s="237"/>
      <c r="G1549" s="237"/>
      <c r="H1549" s="1497">
        <f t="shared" si="48"/>
        <v>0</v>
      </c>
      <c r="I1549" s="1497">
        <f t="shared" si="49"/>
        <v>42000</v>
      </c>
      <c r="J1549" s="1440"/>
      <c r="K1549" s="1490"/>
      <c r="L1549" s="1490"/>
    </row>
    <row r="1550" spans="1:12" ht="131.25">
      <c r="A1550" s="1566"/>
      <c r="B1550" s="425" t="s">
        <v>1628</v>
      </c>
      <c r="C1550" s="817">
        <v>50000</v>
      </c>
      <c r="D1550" s="817"/>
      <c r="E1550" s="184">
        <v>50000</v>
      </c>
      <c r="F1550" s="237"/>
      <c r="G1550" s="237"/>
      <c r="H1550" s="1497">
        <f t="shared" si="48"/>
        <v>0</v>
      </c>
      <c r="I1550" s="1497">
        <f t="shared" si="49"/>
        <v>100000</v>
      </c>
      <c r="J1550" s="1440"/>
      <c r="K1550" s="1490"/>
      <c r="L1550" s="1490"/>
    </row>
    <row r="1551" spans="1:12" ht="75">
      <c r="A1551" s="1566"/>
      <c r="B1551" s="425" t="s">
        <v>1629</v>
      </c>
      <c r="C1551" s="817">
        <v>7000</v>
      </c>
      <c r="D1551" s="817">
        <v>7000</v>
      </c>
      <c r="E1551" s="184"/>
      <c r="F1551" s="237"/>
      <c r="G1551" s="237"/>
      <c r="H1551" s="1497">
        <f t="shared" si="48"/>
        <v>0</v>
      </c>
      <c r="I1551" s="1497">
        <f t="shared" si="49"/>
        <v>14000</v>
      </c>
      <c r="J1551" s="1440"/>
      <c r="K1551" s="1490"/>
      <c r="L1551" s="1490"/>
    </row>
    <row r="1552" spans="1:12" hidden="1">
      <c r="A1552" s="1566"/>
      <c r="B1552" s="371"/>
      <c r="C1552" s="850"/>
      <c r="D1552" s="850"/>
      <c r="E1552" s="844"/>
      <c r="F1552" s="237"/>
      <c r="G1552" s="237"/>
      <c r="H1552" s="231">
        <f t="shared" si="48"/>
        <v>0</v>
      </c>
      <c r="I1552" s="231">
        <f t="shared" si="49"/>
        <v>0</v>
      </c>
    </row>
    <row r="1553" spans="1:9" hidden="1">
      <c r="A1553" s="1566"/>
      <c r="B1553" s="371"/>
      <c r="C1553" s="850"/>
      <c r="D1553" s="850"/>
      <c r="E1553" s="844"/>
      <c r="F1553" s="237"/>
      <c r="G1553" s="237"/>
      <c r="H1553" s="231">
        <f t="shared" si="48"/>
        <v>0</v>
      </c>
      <c r="I1553" s="231">
        <f t="shared" si="49"/>
        <v>0</v>
      </c>
    </row>
    <row r="1554" spans="1:9" hidden="1">
      <c r="A1554" s="1566"/>
      <c r="B1554" s="371"/>
      <c r="C1554" s="850"/>
      <c r="D1554" s="850"/>
      <c r="E1554" s="844"/>
      <c r="F1554" s="237"/>
      <c r="G1554" s="237"/>
      <c r="H1554" s="231">
        <f t="shared" si="48"/>
        <v>0</v>
      </c>
      <c r="I1554" s="231">
        <f t="shared" si="49"/>
        <v>0</v>
      </c>
    </row>
    <row r="1555" spans="1:9" hidden="1">
      <c r="A1555" s="1566"/>
      <c r="B1555" s="371"/>
      <c r="C1555" s="850"/>
      <c r="D1555" s="850"/>
      <c r="E1555" s="844"/>
      <c r="F1555" s="237"/>
      <c r="G1555" s="237"/>
      <c r="H1555" s="231">
        <f t="shared" si="48"/>
        <v>0</v>
      </c>
      <c r="I1555" s="231">
        <f t="shared" si="49"/>
        <v>0</v>
      </c>
    </row>
    <row r="1556" spans="1:9" hidden="1">
      <c r="A1556" s="1566"/>
      <c r="B1556" s="113"/>
      <c r="C1556" s="256"/>
      <c r="D1556" s="256"/>
      <c r="E1556" s="256"/>
      <c r="F1556" s="237"/>
      <c r="G1556" s="237"/>
      <c r="H1556" s="231">
        <f t="shared" si="48"/>
        <v>0</v>
      </c>
      <c r="I1556" s="231">
        <f t="shared" si="49"/>
        <v>0</v>
      </c>
    </row>
    <row r="1557" spans="1:9" hidden="1">
      <c r="A1557" s="1566"/>
      <c r="B1557" s="113"/>
      <c r="C1557" s="655"/>
      <c r="D1557" s="654"/>
      <c r="E1557" s="655"/>
      <c r="F1557" s="237"/>
      <c r="G1557" s="237"/>
      <c r="H1557" s="231">
        <f t="shared" si="48"/>
        <v>0</v>
      </c>
      <c r="I1557" s="231">
        <f t="shared" si="49"/>
        <v>0</v>
      </c>
    </row>
    <row r="1558" spans="1:9" s="7" customFormat="1" hidden="1">
      <c r="A1558" s="1558"/>
      <c r="B1558" s="107"/>
      <c r="C1558" s="654"/>
      <c r="D1558" s="654"/>
      <c r="E1558" s="256"/>
      <c r="F1558" s="237"/>
      <c r="G1558" s="237"/>
      <c r="H1558" s="231">
        <f t="shared" si="48"/>
        <v>0</v>
      </c>
      <c r="I1558" s="231">
        <f t="shared" si="49"/>
        <v>0</v>
      </c>
    </row>
    <row r="1559" spans="1:9" s="7" customFormat="1" hidden="1">
      <c r="A1559" s="1558"/>
      <c r="B1559" s="107"/>
      <c r="C1559" s="654"/>
      <c r="D1559" s="654"/>
      <c r="E1559" s="256"/>
      <c r="F1559" s="237"/>
      <c r="G1559" s="237"/>
      <c r="H1559" s="231">
        <f t="shared" si="48"/>
        <v>0</v>
      </c>
      <c r="I1559" s="231">
        <f t="shared" si="49"/>
        <v>0</v>
      </c>
    </row>
    <row r="1560" spans="1:9" s="7" customFormat="1" hidden="1">
      <c r="A1560" s="1558"/>
      <c r="B1560" s="107"/>
      <c r="C1560" s="654"/>
      <c r="D1560" s="654"/>
      <c r="E1560" s="256"/>
      <c r="F1560" s="237"/>
      <c r="G1560" s="237"/>
      <c r="H1560" s="231">
        <f t="shared" si="48"/>
        <v>0</v>
      </c>
      <c r="I1560" s="231">
        <f t="shared" si="49"/>
        <v>0</v>
      </c>
    </row>
    <row r="1561" spans="1:9" s="7" customFormat="1" hidden="1">
      <c r="A1561" s="1558"/>
      <c r="B1561" s="107"/>
      <c r="C1561" s="654"/>
      <c r="D1561" s="654"/>
      <c r="E1561" s="256"/>
      <c r="F1561" s="237"/>
      <c r="G1561" s="237"/>
      <c r="H1561" s="231">
        <f t="shared" si="48"/>
        <v>0</v>
      </c>
      <c r="I1561" s="231">
        <f t="shared" si="49"/>
        <v>0</v>
      </c>
    </row>
    <row r="1562" spans="1:9" s="7" customFormat="1" hidden="1">
      <c r="A1562" s="1558"/>
      <c r="B1562" s="107"/>
      <c r="C1562" s="654"/>
      <c r="D1562" s="654"/>
      <c r="E1562" s="256"/>
      <c r="F1562" s="237"/>
      <c r="G1562" s="237"/>
      <c r="H1562" s="231">
        <f t="shared" si="48"/>
        <v>0</v>
      </c>
      <c r="I1562" s="231">
        <f t="shared" si="49"/>
        <v>0</v>
      </c>
    </row>
    <row r="1563" spans="1:9" s="7" customFormat="1" hidden="1">
      <c r="A1563" s="1558"/>
      <c r="B1563" s="107"/>
      <c r="C1563" s="654"/>
      <c r="D1563" s="654"/>
      <c r="E1563" s="256"/>
      <c r="F1563" s="237"/>
      <c r="G1563" s="237"/>
      <c r="H1563" s="231">
        <f t="shared" si="48"/>
        <v>0</v>
      </c>
      <c r="I1563" s="231">
        <f t="shared" si="49"/>
        <v>0</v>
      </c>
    </row>
    <row r="1564" spans="1:9" s="7" customFormat="1" hidden="1">
      <c r="A1564" s="1558"/>
      <c r="B1564" s="107"/>
      <c r="C1564" s="654"/>
      <c r="D1564" s="654"/>
      <c r="E1564" s="256"/>
      <c r="F1564" s="237"/>
      <c r="G1564" s="237"/>
      <c r="H1564" s="231">
        <f t="shared" si="48"/>
        <v>0</v>
      </c>
      <c r="I1564" s="231">
        <f t="shared" si="49"/>
        <v>0</v>
      </c>
    </row>
    <row r="1565" spans="1:9" s="7" customFormat="1" hidden="1">
      <c r="A1565" s="1558"/>
      <c r="B1565" s="107"/>
      <c r="C1565" s="654"/>
      <c r="D1565" s="654"/>
      <c r="E1565" s="256"/>
      <c r="F1565" s="237"/>
      <c r="G1565" s="237"/>
      <c r="H1565" s="231">
        <f t="shared" si="48"/>
        <v>0</v>
      </c>
      <c r="I1565" s="231">
        <f t="shared" si="49"/>
        <v>0</v>
      </c>
    </row>
    <row r="1566" spans="1:9" s="7" customFormat="1" hidden="1">
      <c r="A1566" s="1558"/>
      <c r="B1566" s="107"/>
      <c r="C1566" s="654"/>
      <c r="D1566" s="654"/>
      <c r="E1566" s="256"/>
      <c r="F1566" s="237"/>
      <c r="G1566" s="237"/>
      <c r="H1566" s="231">
        <f t="shared" si="48"/>
        <v>0</v>
      </c>
      <c r="I1566" s="231">
        <f t="shared" si="49"/>
        <v>0</v>
      </c>
    </row>
    <row r="1567" spans="1:9" s="7" customFormat="1" hidden="1">
      <c r="A1567" s="1558"/>
      <c r="B1567" s="107"/>
      <c r="C1567" s="654"/>
      <c r="D1567" s="654"/>
      <c r="E1567" s="256"/>
      <c r="F1567" s="237"/>
      <c r="G1567" s="237"/>
      <c r="H1567" s="231">
        <f t="shared" si="48"/>
        <v>0</v>
      </c>
      <c r="I1567" s="231">
        <f t="shared" si="49"/>
        <v>0</v>
      </c>
    </row>
    <row r="1568" spans="1:9" s="7" customFormat="1" hidden="1">
      <c r="A1568" s="1558"/>
      <c r="B1568" s="107"/>
      <c r="C1568" s="654"/>
      <c r="D1568" s="654"/>
      <c r="E1568" s="256"/>
      <c r="F1568" s="237"/>
      <c r="G1568" s="237"/>
      <c r="H1568" s="231">
        <f t="shared" si="48"/>
        <v>0</v>
      </c>
      <c r="I1568" s="231">
        <f t="shared" si="49"/>
        <v>0</v>
      </c>
    </row>
    <row r="1569" spans="1:12" s="7" customFormat="1" hidden="1">
      <c r="A1569" s="1558"/>
      <c r="B1569" s="107"/>
      <c r="C1569" s="654"/>
      <c r="D1569" s="654"/>
      <c r="E1569" s="256"/>
      <c r="F1569" s="237"/>
      <c r="G1569" s="237"/>
      <c r="H1569" s="231">
        <f t="shared" si="48"/>
        <v>0</v>
      </c>
      <c r="I1569" s="231">
        <f t="shared" si="49"/>
        <v>0</v>
      </c>
    </row>
    <row r="1570" spans="1:12" s="7" customFormat="1" hidden="1">
      <c r="A1570" s="1558"/>
      <c r="B1570" s="107"/>
      <c r="C1570" s="654"/>
      <c r="D1570" s="654"/>
      <c r="E1570" s="256"/>
      <c r="F1570" s="237"/>
      <c r="G1570" s="237"/>
      <c r="H1570" s="231">
        <f t="shared" si="48"/>
        <v>0</v>
      </c>
      <c r="I1570" s="231">
        <f t="shared" si="49"/>
        <v>0</v>
      </c>
    </row>
    <row r="1571" spans="1:12" s="7" customFormat="1" hidden="1">
      <c r="A1571" s="1558"/>
      <c r="B1571" s="107"/>
      <c r="C1571" s="654"/>
      <c r="D1571" s="654"/>
      <c r="E1571" s="256"/>
      <c r="F1571" s="237"/>
      <c r="G1571" s="237"/>
      <c r="H1571" s="231">
        <f t="shared" si="48"/>
        <v>0</v>
      </c>
      <c r="I1571" s="231">
        <f t="shared" si="49"/>
        <v>0</v>
      </c>
    </row>
    <row r="1572" spans="1:12" s="7" customFormat="1" hidden="1">
      <c r="A1572" s="1558"/>
      <c r="B1572" s="107"/>
      <c r="C1572" s="654"/>
      <c r="D1572" s="654"/>
      <c r="E1572" s="256"/>
      <c r="F1572" s="237"/>
      <c r="G1572" s="237"/>
      <c r="H1572" s="231">
        <f t="shared" si="48"/>
        <v>0</v>
      </c>
      <c r="I1572" s="231">
        <f t="shared" si="49"/>
        <v>0</v>
      </c>
    </row>
    <row r="1573" spans="1:12" s="7" customFormat="1" hidden="1">
      <c r="A1573" s="1558"/>
      <c r="B1573" s="107"/>
      <c r="C1573" s="654"/>
      <c r="D1573" s="654"/>
      <c r="E1573" s="256"/>
      <c r="F1573" s="237"/>
      <c r="G1573" s="237"/>
      <c r="H1573" s="231">
        <f t="shared" si="48"/>
        <v>0</v>
      </c>
      <c r="I1573" s="231">
        <f t="shared" si="49"/>
        <v>0</v>
      </c>
    </row>
    <row r="1574" spans="1:12" s="7" customFormat="1" hidden="1">
      <c r="A1574" s="1558"/>
      <c r="B1574" s="107"/>
      <c r="C1574" s="654"/>
      <c r="D1574" s="654"/>
      <c r="E1574" s="256"/>
      <c r="F1574" s="237"/>
      <c r="G1574" s="237"/>
      <c r="H1574" s="231">
        <f t="shared" si="48"/>
        <v>0</v>
      </c>
      <c r="I1574" s="231">
        <f t="shared" si="49"/>
        <v>0</v>
      </c>
    </row>
    <row r="1575" spans="1:12" s="7" customFormat="1" hidden="1">
      <c r="A1575" s="1558"/>
      <c r="B1575" s="107"/>
      <c r="C1575" s="256"/>
      <c r="D1575" s="256"/>
      <c r="E1575" s="256"/>
      <c r="F1575" s="237"/>
      <c r="G1575" s="237"/>
      <c r="H1575" s="231">
        <f t="shared" si="48"/>
        <v>0</v>
      </c>
      <c r="I1575" s="231">
        <f t="shared" si="49"/>
        <v>0</v>
      </c>
    </row>
    <row r="1576" spans="1:12" s="7" customFormat="1" hidden="1">
      <c r="A1576" s="1558"/>
      <c r="B1576" s="107"/>
      <c r="C1576" s="256"/>
      <c r="D1576" s="256"/>
      <c r="E1576" s="256"/>
      <c r="F1576" s="237"/>
      <c r="G1576" s="237"/>
      <c r="H1576" s="231">
        <f t="shared" si="48"/>
        <v>0</v>
      </c>
      <c r="I1576" s="231">
        <f t="shared" si="49"/>
        <v>0</v>
      </c>
    </row>
    <row r="1577" spans="1:12" s="7" customFormat="1" hidden="1">
      <c r="A1577" s="1558"/>
      <c r="B1577" s="107"/>
      <c r="C1577" s="256"/>
      <c r="D1577" s="256"/>
      <c r="E1577" s="256"/>
      <c r="F1577" s="237"/>
      <c r="G1577" s="237"/>
      <c r="H1577" s="231">
        <f t="shared" si="48"/>
        <v>0</v>
      </c>
      <c r="I1577" s="231">
        <f t="shared" si="49"/>
        <v>0</v>
      </c>
    </row>
    <row r="1578" spans="1:12" s="7" customFormat="1" hidden="1">
      <c r="A1578" s="1554"/>
      <c r="B1578" s="273"/>
      <c r="C1578" s="682"/>
      <c r="D1578" s="682"/>
      <c r="E1578" s="275"/>
      <c r="F1578" s="237"/>
      <c r="G1578" s="237"/>
      <c r="H1578" s="231">
        <f t="shared" si="48"/>
        <v>0</v>
      </c>
      <c r="I1578" s="231">
        <f t="shared" si="49"/>
        <v>0</v>
      </c>
    </row>
    <row r="1579" spans="1:12" s="7" customFormat="1" hidden="1">
      <c r="A1579" s="1554"/>
      <c r="B1579" s="107"/>
      <c r="C1579" s="654"/>
      <c r="D1579" s="654"/>
      <c r="E1579" s="256"/>
      <c r="F1579" s="237"/>
      <c r="G1579" s="237"/>
      <c r="H1579" s="231">
        <f t="shared" si="48"/>
        <v>0</v>
      </c>
      <c r="I1579" s="231">
        <f t="shared" si="49"/>
        <v>0</v>
      </c>
    </row>
    <row r="1580" spans="1:12" s="7" customFormat="1" hidden="1">
      <c r="A1580" s="1554"/>
      <c r="B1580" s="107"/>
      <c r="C1580" s="654"/>
      <c r="D1580" s="654"/>
      <c r="E1580" s="256"/>
      <c r="F1580" s="237"/>
      <c r="G1580" s="237"/>
      <c r="H1580" s="231">
        <f t="shared" si="48"/>
        <v>0</v>
      </c>
      <c r="I1580" s="231">
        <f t="shared" si="49"/>
        <v>0</v>
      </c>
    </row>
    <row r="1581" spans="1:12" s="7" customFormat="1" ht="18" hidden="1" customHeight="1">
      <c r="A1581" s="1554"/>
      <c r="B1581" s="107"/>
      <c r="C1581" s="654"/>
      <c r="D1581" s="654"/>
      <c r="E1581" s="654"/>
      <c r="F1581" s="237"/>
      <c r="G1581" s="237"/>
      <c r="H1581" s="231">
        <f t="shared" si="48"/>
        <v>0</v>
      </c>
      <c r="I1581" s="231">
        <f t="shared" si="49"/>
        <v>0</v>
      </c>
    </row>
    <row r="1582" spans="1:12" s="7" customFormat="1" ht="18" hidden="1" customHeight="1">
      <c r="A1582" s="1554"/>
      <c r="B1582" s="107"/>
      <c r="C1582" s="654"/>
      <c r="D1582" s="654"/>
      <c r="E1582" s="654"/>
      <c r="F1582" s="237"/>
      <c r="G1582" s="237"/>
      <c r="H1582" s="231">
        <f t="shared" si="48"/>
        <v>0</v>
      </c>
      <c r="I1582" s="231">
        <f t="shared" si="49"/>
        <v>0</v>
      </c>
    </row>
    <row r="1583" spans="1:12" s="7" customFormat="1" ht="18" hidden="1" customHeight="1">
      <c r="A1583" s="1554"/>
      <c r="B1583" s="268"/>
      <c r="C1583" s="656"/>
      <c r="D1583" s="656"/>
      <c r="E1583" s="656"/>
      <c r="F1583" s="237"/>
      <c r="G1583" s="237"/>
      <c r="H1583" s="231">
        <f t="shared" si="48"/>
        <v>0</v>
      </c>
      <c r="I1583" s="231">
        <f t="shared" si="49"/>
        <v>0</v>
      </c>
    </row>
    <row r="1584" spans="1:12">
      <c r="A1584" s="1566"/>
      <c r="B1584" s="209" t="s">
        <v>985</v>
      </c>
      <c r="C1584" s="581">
        <f>SUM(C1536:C1583)</f>
        <v>1678495</v>
      </c>
      <c r="D1584" s="581">
        <f>SUM(D1536:D1583)</f>
        <v>910383</v>
      </c>
      <c r="E1584" s="581">
        <f>SUM(E1536:E1583)</f>
        <v>768112</v>
      </c>
      <c r="F1584" s="263">
        <f>SUM(F1536:F1540)</f>
        <v>0</v>
      </c>
      <c r="G1584" s="236">
        <f>SUM(G1536:G1540)</f>
        <v>0</v>
      </c>
      <c r="H1584" s="1497">
        <f t="shared" si="48"/>
        <v>0</v>
      </c>
      <c r="I1584" s="1497">
        <f t="shared" si="49"/>
        <v>3356990</v>
      </c>
      <c r="J1584" s="1440"/>
      <c r="K1584" s="1490"/>
      <c r="L1584" s="1490"/>
    </row>
    <row r="1585" spans="1:12" ht="75">
      <c r="A1585" s="1566" t="s">
        <v>1158</v>
      </c>
      <c r="B1585" s="181" t="s">
        <v>772</v>
      </c>
      <c r="C1585" s="644">
        <v>2918400</v>
      </c>
      <c r="D1585" s="589">
        <v>2918400</v>
      </c>
      <c r="E1585" s="644"/>
      <c r="F1585" s="237"/>
      <c r="G1585" s="237"/>
      <c r="H1585" s="1497">
        <f t="shared" si="48"/>
        <v>0</v>
      </c>
      <c r="I1585" s="1497">
        <f t="shared" si="49"/>
        <v>5836800</v>
      </c>
      <c r="J1585" s="1440"/>
      <c r="K1585" s="1490"/>
      <c r="L1585" s="1490"/>
    </row>
    <row r="1586" spans="1:12" ht="112.5" hidden="1">
      <c r="A1586" s="1566"/>
      <c r="B1586" s="107" t="s">
        <v>773</v>
      </c>
      <c r="C1586" s="589"/>
      <c r="D1586" s="589"/>
      <c r="E1586" s="510"/>
      <c r="F1586" s="237"/>
      <c r="G1586" s="237"/>
      <c r="H1586" s="231">
        <f t="shared" si="48"/>
        <v>0</v>
      </c>
      <c r="I1586" s="231">
        <f t="shared" si="49"/>
        <v>0</v>
      </c>
    </row>
    <row r="1587" spans="1:12" ht="37.5">
      <c r="A1587" s="1566"/>
      <c r="B1587" s="369" t="s">
        <v>1273</v>
      </c>
      <c r="C1587" s="589">
        <v>452459</v>
      </c>
      <c r="D1587" s="589">
        <v>452459</v>
      </c>
      <c r="E1587" s="510"/>
      <c r="F1587" s="232"/>
      <c r="G1587" s="232"/>
      <c r="H1587" s="1497">
        <f t="shared" si="48"/>
        <v>0</v>
      </c>
      <c r="I1587" s="1497">
        <f t="shared" si="49"/>
        <v>904918</v>
      </c>
      <c r="J1587" s="1440"/>
      <c r="K1587" s="1490"/>
      <c r="L1587" s="1490"/>
    </row>
    <row r="1588" spans="1:12" ht="37.5">
      <c r="A1588" s="1566"/>
      <c r="B1588" s="1215" t="s">
        <v>1950</v>
      </c>
      <c r="C1588" s="1214">
        <v>17500</v>
      </c>
      <c r="D1588" s="256"/>
      <c r="E1588" s="256">
        <v>17500</v>
      </c>
      <c r="F1588" s="232"/>
      <c r="G1588" s="232"/>
      <c r="H1588" s="1497">
        <f t="shared" si="48"/>
        <v>0</v>
      </c>
      <c r="I1588" s="1497">
        <f t="shared" si="49"/>
        <v>35000</v>
      </c>
      <c r="J1588" s="1440"/>
      <c r="K1588" s="1490"/>
      <c r="L1588" s="1490"/>
    </row>
    <row r="1589" spans="1:12" ht="37.5">
      <c r="A1589" s="1566"/>
      <c r="B1589" s="107" t="s">
        <v>1630</v>
      </c>
      <c r="C1589" s="817">
        <v>7000</v>
      </c>
      <c r="D1589" s="817"/>
      <c r="E1589" s="184">
        <v>7000</v>
      </c>
      <c r="F1589" s="232"/>
      <c r="G1589" s="232"/>
      <c r="H1589" s="1497">
        <f t="shared" si="48"/>
        <v>0</v>
      </c>
      <c r="I1589" s="1497">
        <f t="shared" si="49"/>
        <v>14000</v>
      </c>
      <c r="J1589" s="1440"/>
      <c r="K1589" s="1490"/>
      <c r="L1589" s="1490"/>
    </row>
    <row r="1590" spans="1:12" ht="56.25">
      <c r="A1590" s="1566"/>
      <c r="B1590" s="107" t="s">
        <v>1631</v>
      </c>
      <c r="C1590" s="1226">
        <v>7000</v>
      </c>
      <c r="D1590" s="1226">
        <v>7000</v>
      </c>
      <c r="E1590" s="1227"/>
      <c r="F1590" s="232"/>
      <c r="G1590" s="232"/>
      <c r="H1590" s="1497">
        <f t="shared" si="48"/>
        <v>0</v>
      </c>
      <c r="I1590" s="1497">
        <f t="shared" si="49"/>
        <v>14000</v>
      </c>
      <c r="J1590" s="1440"/>
      <c r="K1590" s="1490"/>
      <c r="L1590" s="1490"/>
    </row>
    <row r="1591" spans="1:12" ht="56.25">
      <c r="A1591" s="1566"/>
      <c r="B1591" s="107" t="s">
        <v>1632</v>
      </c>
      <c r="C1591" s="1226">
        <v>10000</v>
      </c>
      <c r="D1591" s="1226">
        <v>10000</v>
      </c>
      <c r="E1591" s="1227"/>
      <c r="F1591" s="232"/>
      <c r="G1591" s="232"/>
      <c r="H1591" s="1497">
        <f t="shared" si="48"/>
        <v>0</v>
      </c>
      <c r="I1591" s="1497">
        <f t="shared" si="49"/>
        <v>20000</v>
      </c>
      <c r="J1591" s="1440"/>
      <c r="K1591" s="1490"/>
      <c r="L1591" s="1490"/>
    </row>
    <row r="1592" spans="1:12" s="7" customFormat="1" ht="56.25">
      <c r="A1592" s="1558"/>
      <c r="B1592" s="107" t="s">
        <v>1633</v>
      </c>
      <c r="C1592" s="1226">
        <v>25000</v>
      </c>
      <c r="D1592" s="1226">
        <v>25000</v>
      </c>
      <c r="E1592" s="1227"/>
      <c r="F1592" s="232"/>
      <c r="G1592" s="232"/>
      <c r="H1592" s="1497">
        <f t="shared" si="48"/>
        <v>0</v>
      </c>
      <c r="I1592" s="1497">
        <f t="shared" si="49"/>
        <v>50000</v>
      </c>
      <c r="J1592" s="1435"/>
      <c r="K1592" s="1491"/>
      <c r="L1592" s="1491"/>
    </row>
    <row r="1593" spans="1:12" s="7" customFormat="1" ht="56.25">
      <c r="A1593" s="1558"/>
      <c r="B1593" s="107" t="s">
        <v>1634</v>
      </c>
      <c r="C1593" s="1226">
        <v>46112</v>
      </c>
      <c r="D1593" s="1226"/>
      <c r="E1593" s="1227">
        <v>46112</v>
      </c>
      <c r="F1593" s="232"/>
      <c r="G1593" s="232"/>
      <c r="H1593" s="1497">
        <f t="shared" si="48"/>
        <v>0</v>
      </c>
      <c r="I1593" s="1497">
        <f t="shared" si="49"/>
        <v>92224</v>
      </c>
      <c r="J1593" s="1435"/>
      <c r="K1593" s="1491"/>
      <c r="L1593" s="1491"/>
    </row>
    <row r="1594" spans="1:12" s="7" customFormat="1" ht="56.25">
      <c r="A1594" s="1558"/>
      <c r="B1594" s="425" t="s">
        <v>1635</v>
      </c>
      <c r="C1594" s="817">
        <v>40000</v>
      </c>
      <c r="D1594" s="817">
        <v>40000</v>
      </c>
      <c r="E1594" s="184"/>
      <c r="F1594" s="232"/>
      <c r="G1594" s="232"/>
      <c r="H1594" s="1497">
        <f t="shared" si="48"/>
        <v>0</v>
      </c>
      <c r="I1594" s="1497">
        <f t="shared" si="49"/>
        <v>80000</v>
      </c>
      <c r="J1594" s="1435"/>
      <c r="K1594" s="1491"/>
      <c r="L1594" s="1491"/>
    </row>
    <row r="1595" spans="1:12" s="7" customFormat="1" ht="37.5">
      <c r="A1595" s="1558"/>
      <c r="B1595" s="425" t="s">
        <v>1636</v>
      </c>
      <c r="C1595" s="817">
        <v>40000</v>
      </c>
      <c r="D1595" s="817">
        <v>40000</v>
      </c>
      <c r="E1595" s="184"/>
      <c r="F1595" s="232"/>
      <c r="G1595" s="232"/>
      <c r="H1595" s="1497">
        <f t="shared" si="48"/>
        <v>0</v>
      </c>
      <c r="I1595" s="1497">
        <f t="shared" si="49"/>
        <v>80000</v>
      </c>
      <c r="J1595" s="1435"/>
      <c r="K1595" s="1491"/>
      <c r="L1595" s="1491"/>
    </row>
    <row r="1596" spans="1:12" s="7" customFormat="1" ht="56.25">
      <c r="A1596" s="1558"/>
      <c r="B1596" s="425" t="s">
        <v>1637</v>
      </c>
      <c r="C1596" s="817">
        <v>5529</v>
      </c>
      <c r="D1596" s="817">
        <v>5529</v>
      </c>
      <c r="E1596" s="184"/>
      <c r="F1596" s="232"/>
      <c r="G1596" s="232"/>
      <c r="H1596" s="1497">
        <f t="shared" si="48"/>
        <v>0</v>
      </c>
      <c r="I1596" s="1497">
        <f t="shared" si="49"/>
        <v>11058</v>
      </c>
      <c r="J1596" s="1435"/>
      <c r="K1596" s="1491"/>
      <c r="L1596" s="1491"/>
    </row>
    <row r="1597" spans="1:12" s="7" customFormat="1" ht="37.5">
      <c r="A1597" s="1558"/>
      <c r="B1597" s="425" t="s">
        <v>1638</v>
      </c>
      <c r="C1597" s="817">
        <v>11000</v>
      </c>
      <c r="D1597" s="817">
        <v>11000</v>
      </c>
      <c r="E1597" s="184"/>
      <c r="F1597" s="232"/>
      <c r="G1597" s="232"/>
      <c r="H1597" s="1497">
        <f t="shared" si="48"/>
        <v>0</v>
      </c>
      <c r="I1597" s="1497">
        <f t="shared" si="49"/>
        <v>22000</v>
      </c>
      <c r="J1597" s="1435"/>
      <c r="K1597" s="1491"/>
      <c r="L1597" s="1491"/>
    </row>
    <row r="1598" spans="1:12" s="7" customFormat="1" ht="75">
      <c r="A1598" s="1558"/>
      <c r="B1598" s="425" t="s">
        <v>1639</v>
      </c>
      <c r="C1598" s="817">
        <v>6000</v>
      </c>
      <c r="D1598" s="817">
        <v>6000</v>
      </c>
      <c r="E1598" s="184"/>
      <c r="F1598" s="232"/>
      <c r="G1598" s="232"/>
      <c r="H1598" s="1497">
        <f t="shared" si="48"/>
        <v>0</v>
      </c>
      <c r="I1598" s="1497">
        <f t="shared" si="49"/>
        <v>12000</v>
      </c>
      <c r="J1598" s="1435"/>
      <c r="K1598" s="1491"/>
      <c r="L1598" s="1491"/>
    </row>
    <row r="1599" spans="1:12" s="7" customFormat="1" ht="31.5">
      <c r="A1599" s="1558"/>
      <c r="B1599" s="1266" t="s">
        <v>2020</v>
      </c>
      <c r="C1599" s="1289">
        <v>25000</v>
      </c>
      <c r="D1599" s="1289">
        <v>7000</v>
      </c>
      <c r="E1599" s="1289">
        <v>18000</v>
      </c>
      <c r="F1599" s="232"/>
      <c r="G1599" s="232"/>
      <c r="H1599" s="1497">
        <f t="shared" si="48"/>
        <v>0</v>
      </c>
      <c r="I1599" s="1497">
        <f t="shared" si="49"/>
        <v>50000</v>
      </c>
      <c r="J1599" s="1435"/>
      <c r="K1599" s="1491"/>
      <c r="L1599" s="1491"/>
    </row>
    <row r="1600" spans="1:12" s="7" customFormat="1" hidden="1">
      <c r="A1600" s="1558"/>
      <c r="B1600" s="371"/>
      <c r="C1600" s="665"/>
      <c r="D1600" s="665"/>
      <c r="E1600" s="665"/>
      <c r="F1600" s="232"/>
      <c r="G1600" s="232"/>
      <c r="H1600" s="231">
        <f t="shared" si="48"/>
        <v>0</v>
      </c>
      <c r="I1600" s="231">
        <f t="shared" si="49"/>
        <v>0</v>
      </c>
    </row>
    <row r="1601" spans="1:9" s="7" customFormat="1" hidden="1">
      <c r="A1601" s="1558"/>
      <c r="B1601" s="371"/>
      <c r="C1601" s="665"/>
      <c r="D1601" s="665"/>
      <c r="E1601" s="665"/>
      <c r="F1601" s="232"/>
      <c r="G1601" s="232"/>
      <c r="H1601" s="231">
        <f t="shared" si="48"/>
        <v>0</v>
      </c>
      <c r="I1601" s="231">
        <f t="shared" si="49"/>
        <v>0</v>
      </c>
    </row>
    <row r="1602" spans="1:9" s="7" customFormat="1" hidden="1">
      <c r="A1602" s="1558"/>
      <c r="B1602" s="371"/>
      <c r="C1602" s="850"/>
      <c r="D1602" s="850"/>
      <c r="E1602" s="844"/>
      <c r="F1602" s="232"/>
      <c r="G1602" s="232"/>
      <c r="H1602" s="231">
        <f t="shared" si="48"/>
        <v>0</v>
      </c>
      <c r="I1602" s="231">
        <f t="shared" si="49"/>
        <v>0</v>
      </c>
    </row>
    <row r="1603" spans="1:9" s="7" customFormat="1" hidden="1">
      <c r="A1603" s="1558"/>
      <c r="B1603" s="371"/>
      <c r="C1603" s="850"/>
      <c r="D1603" s="850"/>
      <c r="E1603" s="844"/>
      <c r="F1603" s="232"/>
      <c r="G1603" s="232"/>
      <c r="H1603" s="231">
        <f t="shared" si="48"/>
        <v>0</v>
      </c>
      <c r="I1603" s="231">
        <f t="shared" si="49"/>
        <v>0</v>
      </c>
    </row>
    <row r="1604" spans="1:9" s="7" customFormat="1" hidden="1">
      <c r="A1604" s="1558"/>
      <c r="B1604" s="107"/>
      <c r="C1604" s="654"/>
      <c r="D1604" s="654"/>
      <c r="E1604" s="256"/>
      <c r="F1604" s="232"/>
      <c r="G1604" s="232"/>
      <c r="H1604" s="231">
        <f t="shared" si="48"/>
        <v>0</v>
      </c>
      <c r="I1604" s="231">
        <f t="shared" si="49"/>
        <v>0</v>
      </c>
    </row>
    <row r="1605" spans="1:9" s="7" customFormat="1" hidden="1">
      <c r="A1605" s="1558"/>
      <c r="B1605" s="107"/>
      <c r="C1605" s="654"/>
      <c r="D1605" s="654"/>
      <c r="E1605" s="256"/>
      <c r="F1605" s="232"/>
      <c r="G1605" s="232"/>
      <c r="H1605" s="231">
        <f t="shared" si="48"/>
        <v>0</v>
      </c>
      <c r="I1605" s="231">
        <f t="shared" si="49"/>
        <v>0</v>
      </c>
    </row>
    <row r="1606" spans="1:9" s="7" customFormat="1" hidden="1">
      <c r="A1606" s="1558"/>
      <c r="B1606" s="107"/>
      <c r="C1606" s="654"/>
      <c r="D1606" s="654"/>
      <c r="E1606" s="256"/>
      <c r="F1606" s="232"/>
      <c r="G1606" s="232"/>
      <c r="H1606" s="231">
        <f t="shared" si="48"/>
        <v>0</v>
      </c>
      <c r="I1606" s="231">
        <f t="shared" si="49"/>
        <v>0</v>
      </c>
    </row>
    <row r="1607" spans="1:9" s="7" customFormat="1" hidden="1">
      <c r="A1607" s="1558"/>
      <c r="B1607" s="107"/>
      <c r="C1607" s="654"/>
      <c r="D1607" s="654"/>
      <c r="E1607" s="256"/>
      <c r="F1607" s="232"/>
      <c r="G1607" s="232"/>
      <c r="H1607" s="231">
        <f t="shared" si="48"/>
        <v>0</v>
      </c>
      <c r="I1607" s="231">
        <f t="shared" si="49"/>
        <v>0</v>
      </c>
    </row>
    <row r="1608" spans="1:9" s="7" customFormat="1" hidden="1">
      <c r="A1608" s="1558"/>
      <c r="B1608" s="107"/>
      <c r="C1608" s="654"/>
      <c r="D1608" s="654"/>
      <c r="E1608" s="256"/>
      <c r="F1608" s="232"/>
      <c r="G1608" s="232"/>
      <c r="H1608" s="231">
        <f t="shared" si="48"/>
        <v>0</v>
      </c>
      <c r="I1608" s="231">
        <f t="shared" si="49"/>
        <v>0</v>
      </c>
    </row>
    <row r="1609" spans="1:9" s="7" customFormat="1" hidden="1">
      <c r="A1609" s="1558"/>
      <c r="B1609" s="107"/>
      <c r="C1609" s="654"/>
      <c r="D1609" s="654"/>
      <c r="E1609" s="256"/>
      <c r="F1609" s="232"/>
      <c r="G1609" s="232"/>
      <c r="H1609" s="231">
        <f t="shared" ref="H1609:H1672" si="50">E1609+D1609-C1609</f>
        <v>0</v>
      </c>
      <c r="I1609" s="231">
        <f t="shared" ref="I1609:I1672" si="51">SUM(C1609:E1609)</f>
        <v>0</v>
      </c>
    </row>
    <row r="1610" spans="1:9" s="7" customFormat="1" hidden="1">
      <c r="A1610" s="1558"/>
      <c r="B1610" s="107"/>
      <c r="C1610" s="654"/>
      <c r="D1610" s="654"/>
      <c r="E1610" s="256"/>
      <c r="F1610" s="232"/>
      <c r="G1610" s="232"/>
      <c r="H1610" s="231">
        <f t="shared" si="50"/>
        <v>0</v>
      </c>
      <c r="I1610" s="231">
        <f t="shared" si="51"/>
        <v>0</v>
      </c>
    </row>
    <row r="1611" spans="1:9" s="85" customFormat="1" hidden="1">
      <c r="A1611" s="1660"/>
      <c r="B1611" s="107"/>
      <c r="C1611" s="654"/>
      <c r="D1611" s="654"/>
      <c r="E1611" s="256"/>
      <c r="F1611" s="232"/>
      <c r="G1611" s="232"/>
      <c r="H1611" s="231">
        <f t="shared" si="50"/>
        <v>0</v>
      </c>
      <c r="I1611" s="231">
        <f t="shared" si="51"/>
        <v>0</v>
      </c>
    </row>
    <row r="1612" spans="1:9" s="7" customFormat="1" hidden="1">
      <c r="A1612" s="1558"/>
      <c r="B1612" s="107"/>
      <c r="C1612" s="654"/>
      <c r="D1612" s="654"/>
      <c r="E1612" s="256"/>
      <c r="F1612" s="232"/>
      <c r="G1612" s="232"/>
      <c r="H1612" s="231">
        <f t="shared" si="50"/>
        <v>0</v>
      </c>
      <c r="I1612" s="231">
        <f t="shared" si="51"/>
        <v>0</v>
      </c>
    </row>
    <row r="1613" spans="1:9" s="7" customFormat="1" hidden="1">
      <c r="A1613" s="1558"/>
      <c r="B1613" s="107"/>
      <c r="C1613" s="654"/>
      <c r="D1613" s="654"/>
      <c r="E1613" s="256"/>
      <c r="F1613" s="232"/>
      <c r="G1613" s="232"/>
      <c r="H1613" s="231">
        <f t="shared" si="50"/>
        <v>0</v>
      </c>
      <c r="I1613" s="231">
        <f t="shared" si="51"/>
        <v>0</v>
      </c>
    </row>
    <row r="1614" spans="1:9" s="7" customFormat="1" hidden="1">
      <c r="A1614" s="1558"/>
      <c r="B1614" s="107"/>
      <c r="C1614" s="654"/>
      <c r="D1614" s="654"/>
      <c r="E1614" s="256"/>
      <c r="F1614" s="232"/>
      <c r="G1614" s="232"/>
      <c r="H1614" s="231">
        <f t="shared" si="50"/>
        <v>0</v>
      </c>
      <c r="I1614" s="231">
        <f t="shared" si="51"/>
        <v>0</v>
      </c>
    </row>
    <row r="1615" spans="1:9" s="7" customFormat="1" hidden="1">
      <c r="A1615" s="1558"/>
      <c r="B1615" s="107"/>
      <c r="C1615" s="654"/>
      <c r="D1615" s="654"/>
      <c r="E1615" s="256"/>
      <c r="F1615" s="232"/>
      <c r="G1615" s="232"/>
      <c r="H1615" s="231">
        <f t="shared" si="50"/>
        <v>0</v>
      </c>
      <c r="I1615" s="231">
        <f t="shared" si="51"/>
        <v>0</v>
      </c>
    </row>
    <row r="1616" spans="1:9" s="7" customFormat="1" hidden="1">
      <c r="A1616" s="1558"/>
      <c r="B1616" s="107"/>
      <c r="C1616" s="654"/>
      <c r="D1616" s="654"/>
      <c r="E1616" s="256"/>
      <c r="F1616" s="232"/>
      <c r="G1616" s="232"/>
      <c r="H1616" s="231">
        <f t="shared" si="50"/>
        <v>0</v>
      </c>
      <c r="I1616" s="231">
        <f t="shared" si="51"/>
        <v>0</v>
      </c>
    </row>
    <row r="1617" spans="1:9" s="7" customFormat="1" hidden="1">
      <c r="A1617" s="1558"/>
      <c r="B1617" s="107"/>
      <c r="C1617" s="654"/>
      <c r="D1617" s="654"/>
      <c r="E1617" s="256"/>
      <c r="F1617" s="232"/>
      <c r="G1617" s="232"/>
      <c r="H1617" s="231">
        <f t="shared" si="50"/>
        <v>0</v>
      </c>
      <c r="I1617" s="231">
        <f t="shared" si="51"/>
        <v>0</v>
      </c>
    </row>
    <row r="1618" spans="1:9" s="7" customFormat="1" hidden="1">
      <c r="A1618" s="1558"/>
      <c r="B1618" s="107"/>
      <c r="C1618" s="654"/>
      <c r="D1618" s="654"/>
      <c r="E1618" s="256"/>
      <c r="F1618" s="232"/>
      <c r="G1618" s="232"/>
      <c r="H1618" s="231">
        <f t="shared" si="50"/>
        <v>0</v>
      </c>
      <c r="I1618" s="231">
        <f t="shared" si="51"/>
        <v>0</v>
      </c>
    </row>
    <row r="1619" spans="1:9" s="7" customFormat="1" hidden="1">
      <c r="A1619" s="1558"/>
      <c r="B1619" s="107"/>
      <c r="C1619" s="654"/>
      <c r="D1619" s="654"/>
      <c r="E1619" s="256"/>
      <c r="F1619" s="232"/>
      <c r="G1619" s="232"/>
      <c r="H1619" s="231">
        <f t="shared" si="50"/>
        <v>0</v>
      </c>
      <c r="I1619" s="231">
        <f t="shared" si="51"/>
        <v>0</v>
      </c>
    </row>
    <row r="1620" spans="1:9" s="7" customFormat="1" hidden="1">
      <c r="A1620" s="1558"/>
      <c r="B1620" s="107"/>
      <c r="C1620" s="654"/>
      <c r="D1620" s="654"/>
      <c r="E1620" s="256"/>
      <c r="F1620" s="232"/>
      <c r="G1620" s="232"/>
      <c r="H1620" s="231">
        <f t="shared" si="50"/>
        <v>0</v>
      </c>
      <c r="I1620" s="231">
        <f t="shared" si="51"/>
        <v>0</v>
      </c>
    </row>
    <row r="1621" spans="1:9" s="7" customFormat="1" hidden="1">
      <c r="A1621" s="1558"/>
      <c r="B1621" s="107"/>
      <c r="C1621" s="654"/>
      <c r="D1621" s="654"/>
      <c r="E1621" s="256"/>
      <c r="F1621" s="232"/>
      <c r="G1621" s="232"/>
      <c r="H1621" s="231">
        <f t="shared" si="50"/>
        <v>0</v>
      </c>
      <c r="I1621" s="231">
        <f t="shared" si="51"/>
        <v>0</v>
      </c>
    </row>
    <row r="1622" spans="1:9" s="7" customFormat="1" hidden="1">
      <c r="A1622" s="1558"/>
      <c r="B1622" s="107"/>
      <c r="C1622" s="654"/>
      <c r="D1622" s="654"/>
      <c r="E1622" s="256"/>
      <c r="F1622" s="232"/>
      <c r="G1622" s="232"/>
      <c r="H1622" s="231">
        <f t="shared" si="50"/>
        <v>0</v>
      </c>
      <c r="I1622" s="231">
        <f t="shared" si="51"/>
        <v>0</v>
      </c>
    </row>
    <row r="1623" spans="1:9" s="7" customFormat="1" hidden="1">
      <c r="A1623" s="1558"/>
      <c r="B1623" s="107"/>
      <c r="C1623" s="654"/>
      <c r="D1623" s="654"/>
      <c r="E1623" s="256"/>
      <c r="F1623" s="232"/>
      <c r="G1623" s="232"/>
      <c r="H1623" s="231">
        <f t="shared" si="50"/>
        <v>0</v>
      </c>
      <c r="I1623" s="231">
        <f t="shared" si="51"/>
        <v>0</v>
      </c>
    </row>
    <row r="1624" spans="1:9" s="7" customFormat="1" hidden="1">
      <c r="A1624" s="1558"/>
      <c r="B1624" s="107"/>
      <c r="C1624" s="654"/>
      <c r="D1624" s="654"/>
      <c r="E1624" s="256"/>
      <c r="F1624" s="232"/>
      <c r="G1624" s="232"/>
      <c r="H1624" s="231">
        <f t="shared" si="50"/>
        <v>0</v>
      </c>
      <c r="I1624" s="231">
        <f t="shared" si="51"/>
        <v>0</v>
      </c>
    </row>
    <row r="1625" spans="1:9" s="7" customFormat="1" hidden="1">
      <c r="A1625" s="1558"/>
      <c r="B1625" s="107"/>
      <c r="C1625" s="654"/>
      <c r="D1625" s="654"/>
      <c r="E1625" s="256"/>
      <c r="F1625" s="232"/>
      <c r="G1625" s="232"/>
      <c r="H1625" s="231">
        <f t="shared" si="50"/>
        <v>0</v>
      </c>
      <c r="I1625" s="231">
        <f t="shared" si="51"/>
        <v>0</v>
      </c>
    </row>
    <row r="1626" spans="1:9" s="7" customFormat="1" hidden="1">
      <c r="A1626" s="1558"/>
      <c r="B1626" s="107"/>
      <c r="C1626" s="654"/>
      <c r="D1626" s="654"/>
      <c r="E1626" s="256"/>
      <c r="F1626" s="232"/>
      <c r="G1626" s="232"/>
      <c r="H1626" s="231">
        <f t="shared" si="50"/>
        <v>0</v>
      </c>
      <c r="I1626" s="231">
        <f t="shared" si="51"/>
        <v>0</v>
      </c>
    </row>
    <row r="1627" spans="1:9" s="7" customFormat="1" hidden="1">
      <c r="A1627" s="1558"/>
      <c r="B1627" s="107"/>
      <c r="C1627" s="654"/>
      <c r="D1627" s="654"/>
      <c r="E1627" s="256"/>
      <c r="F1627" s="232"/>
      <c r="G1627" s="232"/>
      <c r="H1627" s="231">
        <f t="shared" si="50"/>
        <v>0</v>
      </c>
      <c r="I1627" s="231">
        <f t="shared" si="51"/>
        <v>0</v>
      </c>
    </row>
    <row r="1628" spans="1:9" s="7" customFormat="1" hidden="1">
      <c r="A1628" s="1558"/>
      <c r="B1628" s="107"/>
      <c r="C1628" s="654"/>
      <c r="D1628" s="654"/>
      <c r="E1628" s="256"/>
      <c r="F1628" s="232"/>
      <c r="G1628" s="232"/>
      <c r="H1628" s="231">
        <f t="shared" si="50"/>
        <v>0</v>
      </c>
      <c r="I1628" s="231">
        <f t="shared" si="51"/>
        <v>0</v>
      </c>
    </row>
    <row r="1629" spans="1:9" s="7" customFormat="1" hidden="1">
      <c r="A1629" s="1558"/>
      <c r="B1629" s="107"/>
      <c r="C1629" s="654"/>
      <c r="D1629" s="654"/>
      <c r="E1629" s="256"/>
      <c r="F1629" s="232"/>
      <c r="G1629" s="232"/>
      <c r="H1629" s="231">
        <f t="shared" si="50"/>
        <v>0</v>
      </c>
      <c r="I1629" s="231">
        <f t="shared" si="51"/>
        <v>0</v>
      </c>
    </row>
    <row r="1630" spans="1:9" s="7" customFormat="1" hidden="1">
      <c r="A1630" s="1558"/>
      <c r="B1630" s="107"/>
      <c r="C1630" s="654"/>
      <c r="D1630" s="654"/>
      <c r="E1630" s="256"/>
      <c r="F1630" s="232"/>
      <c r="G1630" s="232"/>
      <c r="H1630" s="231">
        <f t="shared" si="50"/>
        <v>0</v>
      </c>
      <c r="I1630" s="231">
        <f t="shared" si="51"/>
        <v>0</v>
      </c>
    </row>
    <row r="1631" spans="1:9" s="7" customFormat="1" hidden="1">
      <c r="A1631" s="1558"/>
      <c r="B1631" s="107"/>
      <c r="C1631" s="654"/>
      <c r="D1631" s="654"/>
      <c r="E1631" s="256"/>
      <c r="F1631" s="232"/>
      <c r="G1631" s="232"/>
      <c r="H1631" s="231">
        <f t="shared" si="50"/>
        <v>0</v>
      </c>
      <c r="I1631" s="231">
        <f t="shared" si="51"/>
        <v>0</v>
      </c>
    </row>
    <row r="1632" spans="1:9" s="7" customFormat="1" hidden="1">
      <c r="A1632" s="1558"/>
      <c r="B1632" s="107"/>
      <c r="C1632" s="654"/>
      <c r="D1632" s="654"/>
      <c r="E1632" s="256"/>
      <c r="F1632" s="232"/>
      <c r="G1632" s="232"/>
      <c r="H1632" s="231">
        <f t="shared" si="50"/>
        <v>0</v>
      </c>
      <c r="I1632" s="231">
        <f t="shared" si="51"/>
        <v>0</v>
      </c>
    </row>
    <row r="1633" spans="1:9" s="7" customFormat="1" hidden="1">
      <c r="A1633" s="1558"/>
      <c r="B1633" s="107"/>
      <c r="C1633" s="654"/>
      <c r="D1633" s="654"/>
      <c r="E1633" s="256"/>
      <c r="F1633" s="232"/>
      <c r="G1633" s="232"/>
      <c r="H1633" s="231">
        <f t="shared" si="50"/>
        <v>0</v>
      </c>
      <c r="I1633" s="231">
        <f t="shared" si="51"/>
        <v>0</v>
      </c>
    </row>
    <row r="1634" spans="1:9" s="7" customFormat="1" hidden="1">
      <c r="A1634" s="1558"/>
      <c r="B1634" s="107"/>
      <c r="C1634" s="654"/>
      <c r="D1634" s="654"/>
      <c r="E1634" s="256"/>
      <c r="F1634" s="232"/>
      <c r="G1634" s="232"/>
      <c r="H1634" s="231">
        <f t="shared" si="50"/>
        <v>0</v>
      </c>
      <c r="I1634" s="231">
        <f t="shared" si="51"/>
        <v>0</v>
      </c>
    </row>
    <row r="1635" spans="1:9" s="7" customFormat="1" hidden="1">
      <c r="A1635" s="1558"/>
      <c r="B1635" s="107"/>
      <c r="C1635" s="654"/>
      <c r="D1635" s="654"/>
      <c r="E1635" s="256"/>
      <c r="F1635" s="232"/>
      <c r="G1635" s="232"/>
      <c r="H1635" s="231">
        <f t="shared" si="50"/>
        <v>0</v>
      </c>
      <c r="I1635" s="231">
        <f t="shared" si="51"/>
        <v>0</v>
      </c>
    </row>
    <row r="1636" spans="1:9" s="7" customFormat="1" hidden="1">
      <c r="A1636" s="1558"/>
      <c r="B1636" s="107"/>
      <c r="C1636" s="654"/>
      <c r="D1636" s="654"/>
      <c r="E1636" s="256"/>
      <c r="F1636" s="232"/>
      <c r="G1636" s="232"/>
      <c r="H1636" s="231">
        <f t="shared" si="50"/>
        <v>0</v>
      </c>
      <c r="I1636" s="231">
        <f t="shared" si="51"/>
        <v>0</v>
      </c>
    </row>
    <row r="1637" spans="1:9" s="7" customFormat="1" hidden="1">
      <c r="A1637" s="1558"/>
      <c r="B1637" s="226"/>
      <c r="C1637" s="510"/>
      <c r="D1637" s="511"/>
      <c r="E1637" s="510"/>
      <c r="F1637" s="232"/>
      <c r="G1637" s="232"/>
      <c r="H1637" s="231">
        <f t="shared" si="50"/>
        <v>0</v>
      </c>
      <c r="I1637" s="231">
        <f t="shared" si="51"/>
        <v>0</v>
      </c>
    </row>
    <row r="1638" spans="1:9" s="7" customFormat="1" hidden="1">
      <c r="A1638" s="1558"/>
      <c r="B1638" s="107"/>
      <c r="C1638" s="256"/>
      <c r="D1638" s="256"/>
      <c r="E1638" s="256"/>
      <c r="F1638" s="232"/>
      <c r="G1638" s="232"/>
      <c r="H1638" s="231">
        <f t="shared" si="50"/>
        <v>0</v>
      </c>
      <c r="I1638" s="231">
        <f t="shared" si="51"/>
        <v>0</v>
      </c>
    </row>
    <row r="1639" spans="1:9" s="7" customFormat="1" hidden="1">
      <c r="A1639" s="1558"/>
      <c r="B1639" s="107"/>
      <c r="C1639" s="256"/>
      <c r="D1639" s="256"/>
      <c r="E1639" s="256"/>
      <c r="F1639" s="232"/>
      <c r="G1639" s="232"/>
      <c r="H1639" s="231">
        <f t="shared" si="50"/>
        <v>0</v>
      </c>
      <c r="I1639" s="231">
        <f t="shared" si="51"/>
        <v>0</v>
      </c>
    </row>
    <row r="1640" spans="1:9" s="7" customFormat="1" hidden="1">
      <c r="A1640" s="1558"/>
      <c r="B1640" s="107"/>
      <c r="C1640" s="256"/>
      <c r="D1640" s="256"/>
      <c r="E1640" s="256"/>
      <c r="F1640" s="232"/>
      <c r="G1640" s="232"/>
      <c r="H1640" s="231">
        <f t="shared" si="50"/>
        <v>0</v>
      </c>
      <c r="I1640" s="231">
        <f t="shared" si="51"/>
        <v>0</v>
      </c>
    </row>
    <row r="1641" spans="1:9" s="7" customFormat="1" hidden="1">
      <c r="A1641" s="1558"/>
      <c r="B1641" s="107"/>
      <c r="C1641" s="256"/>
      <c r="D1641" s="256"/>
      <c r="E1641" s="256"/>
      <c r="F1641" s="232"/>
      <c r="G1641" s="232"/>
      <c r="H1641" s="231">
        <f t="shared" si="50"/>
        <v>0</v>
      </c>
      <c r="I1641" s="231">
        <f t="shared" si="51"/>
        <v>0</v>
      </c>
    </row>
    <row r="1642" spans="1:9" s="7" customFormat="1" hidden="1">
      <c r="A1642" s="1558"/>
      <c r="B1642" s="107"/>
      <c r="C1642" s="256"/>
      <c r="D1642" s="256"/>
      <c r="E1642" s="256"/>
      <c r="F1642" s="232"/>
      <c r="G1642" s="232"/>
      <c r="H1642" s="231">
        <f t="shared" si="50"/>
        <v>0</v>
      </c>
      <c r="I1642" s="231">
        <f t="shared" si="51"/>
        <v>0</v>
      </c>
    </row>
    <row r="1643" spans="1:9" s="7" customFormat="1" hidden="1">
      <c r="A1643" s="1558"/>
      <c r="B1643" s="107"/>
      <c r="C1643" s="256"/>
      <c r="D1643" s="256"/>
      <c r="E1643" s="256"/>
      <c r="F1643" s="232"/>
      <c r="G1643" s="232"/>
      <c r="H1643" s="231">
        <f t="shared" si="50"/>
        <v>0</v>
      </c>
      <c r="I1643" s="231">
        <f t="shared" si="51"/>
        <v>0</v>
      </c>
    </row>
    <row r="1644" spans="1:9" s="7" customFormat="1" hidden="1">
      <c r="A1644" s="1558"/>
      <c r="B1644" s="107"/>
      <c r="C1644" s="256"/>
      <c r="D1644" s="256"/>
      <c r="E1644" s="256"/>
      <c r="F1644" s="232"/>
      <c r="G1644" s="232"/>
      <c r="H1644" s="231">
        <f t="shared" si="50"/>
        <v>0</v>
      </c>
      <c r="I1644" s="231">
        <f t="shared" si="51"/>
        <v>0</v>
      </c>
    </row>
    <row r="1645" spans="1:9" s="7" customFormat="1" hidden="1">
      <c r="A1645" s="1558"/>
      <c r="B1645" s="107"/>
      <c r="C1645" s="256"/>
      <c r="D1645" s="256"/>
      <c r="E1645" s="256"/>
      <c r="F1645" s="232"/>
      <c r="G1645" s="232"/>
      <c r="H1645" s="231">
        <f t="shared" si="50"/>
        <v>0</v>
      </c>
      <c r="I1645" s="231">
        <f t="shared" si="51"/>
        <v>0</v>
      </c>
    </row>
    <row r="1646" spans="1:9" s="7" customFormat="1" hidden="1">
      <c r="A1646" s="1558"/>
      <c r="B1646" s="107"/>
      <c r="C1646" s="256"/>
      <c r="D1646" s="256"/>
      <c r="E1646" s="256"/>
      <c r="F1646" s="232"/>
      <c r="G1646" s="232"/>
      <c r="H1646" s="231">
        <f t="shared" si="50"/>
        <v>0</v>
      </c>
      <c r="I1646" s="231">
        <f t="shared" si="51"/>
        <v>0</v>
      </c>
    </row>
    <row r="1647" spans="1:9" s="7" customFormat="1" hidden="1">
      <c r="A1647" s="1558"/>
      <c r="B1647" s="107"/>
      <c r="C1647" s="256"/>
      <c r="D1647" s="256"/>
      <c r="E1647" s="256"/>
      <c r="F1647" s="232"/>
      <c r="G1647" s="232"/>
      <c r="H1647" s="231">
        <f t="shared" si="50"/>
        <v>0</v>
      </c>
      <c r="I1647" s="231">
        <f t="shared" si="51"/>
        <v>0</v>
      </c>
    </row>
    <row r="1648" spans="1:9" s="7" customFormat="1" hidden="1">
      <c r="A1648" s="1558"/>
      <c r="B1648" s="107"/>
      <c r="C1648" s="256"/>
      <c r="D1648" s="256"/>
      <c r="E1648" s="256"/>
      <c r="F1648" s="232"/>
      <c r="G1648" s="232"/>
      <c r="H1648" s="231">
        <f t="shared" si="50"/>
        <v>0</v>
      </c>
      <c r="I1648" s="231">
        <f t="shared" si="51"/>
        <v>0</v>
      </c>
    </row>
    <row r="1649" spans="1:9" s="7" customFormat="1" hidden="1">
      <c r="A1649" s="1558"/>
      <c r="B1649" s="107"/>
      <c r="C1649" s="256"/>
      <c r="D1649" s="256"/>
      <c r="E1649" s="256"/>
      <c r="F1649" s="232"/>
      <c r="G1649" s="232"/>
      <c r="H1649" s="231">
        <f t="shared" si="50"/>
        <v>0</v>
      </c>
      <c r="I1649" s="231">
        <f t="shared" si="51"/>
        <v>0</v>
      </c>
    </row>
    <row r="1650" spans="1:9" s="7" customFormat="1" hidden="1">
      <c r="A1650" s="1558"/>
      <c r="B1650" s="343"/>
      <c r="C1650" s="666"/>
      <c r="D1650" s="666"/>
      <c r="E1650" s="667"/>
      <c r="F1650" s="232"/>
      <c r="G1650" s="232"/>
      <c r="H1650" s="231">
        <f t="shared" si="50"/>
        <v>0</v>
      </c>
      <c r="I1650" s="231">
        <f t="shared" si="51"/>
        <v>0</v>
      </c>
    </row>
    <row r="1651" spans="1:9" s="7" customFormat="1" hidden="1">
      <c r="A1651" s="1558"/>
      <c r="B1651" s="404"/>
      <c r="C1651" s="710"/>
      <c r="D1651" s="710"/>
      <c r="E1651" s="711"/>
      <c r="F1651" s="232"/>
      <c r="G1651" s="232"/>
      <c r="H1651" s="231">
        <f t="shared" si="50"/>
        <v>0</v>
      </c>
      <c r="I1651" s="231">
        <f t="shared" si="51"/>
        <v>0</v>
      </c>
    </row>
    <row r="1652" spans="1:9" s="7" customFormat="1" hidden="1">
      <c r="A1652" s="1558"/>
      <c r="B1652" s="353"/>
      <c r="C1652" s="712"/>
      <c r="D1652" s="712"/>
      <c r="E1652" s="713"/>
      <c r="F1652" s="232"/>
      <c r="G1652" s="232"/>
      <c r="H1652" s="231">
        <f t="shared" si="50"/>
        <v>0</v>
      </c>
      <c r="I1652" s="231">
        <f t="shared" si="51"/>
        <v>0</v>
      </c>
    </row>
    <row r="1653" spans="1:9" s="7" customFormat="1" hidden="1">
      <c r="A1653" s="1558"/>
      <c r="B1653" s="343"/>
      <c r="C1653" s="702"/>
      <c r="D1653" s="702"/>
      <c r="E1653" s="702"/>
      <c r="F1653" s="232"/>
      <c r="G1653" s="232"/>
      <c r="H1653" s="231">
        <f t="shared" si="50"/>
        <v>0</v>
      </c>
      <c r="I1653" s="231">
        <f t="shared" si="51"/>
        <v>0</v>
      </c>
    </row>
    <row r="1654" spans="1:9" s="7" customFormat="1" hidden="1">
      <c r="A1654" s="1558"/>
      <c r="B1654" s="343"/>
      <c r="C1654" s="702"/>
      <c r="D1654" s="702"/>
      <c r="E1654" s="702"/>
      <c r="F1654" s="232"/>
      <c r="G1654" s="232"/>
      <c r="H1654" s="231">
        <f t="shared" si="50"/>
        <v>0</v>
      </c>
      <c r="I1654" s="231">
        <f t="shared" si="51"/>
        <v>0</v>
      </c>
    </row>
    <row r="1655" spans="1:9" s="7" customFormat="1" hidden="1">
      <c r="A1655" s="1558"/>
      <c r="B1655" s="343"/>
      <c r="C1655" s="702"/>
      <c r="D1655" s="702"/>
      <c r="E1655" s="702"/>
      <c r="F1655" s="232"/>
      <c r="G1655" s="232"/>
      <c r="H1655" s="231">
        <f t="shared" si="50"/>
        <v>0</v>
      </c>
      <c r="I1655" s="231">
        <f t="shared" si="51"/>
        <v>0</v>
      </c>
    </row>
    <row r="1656" spans="1:9" s="7" customFormat="1" hidden="1">
      <c r="A1656" s="1558"/>
      <c r="B1656" s="343"/>
      <c r="C1656" s="702"/>
      <c r="D1656" s="702"/>
      <c r="E1656" s="702"/>
      <c r="F1656" s="232"/>
      <c r="G1656" s="232"/>
      <c r="H1656" s="231">
        <f t="shared" si="50"/>
        <v>0</v>
      </c>
      <c r="I1656" s="231">
        <f t="shared" si="51"/>
        <v>0</v>
      </c>
    </row>
    <row r="1657" spans="1:9" s="7" customFormat="1" hidden="1">
      <c r="A1657" s="1558"/>
      <c r="B1657" s="343"/>
      <c r="C1657" s="702"/>
      <c r="D1657" s="702"/>
      <c r="E1657" s="702"/>
      <c r="F1657" s="232"/>
      <c r="G1657" s="232"/>
      <c r="H1657" s="231">
        <f t="shared" si="50"/>
        <v>0</v>
      </c>
      <c r="I1657" s="231">
        <f t="shared" si="51"/>
        <v>0</v>
      </c>
    </row>
    <row r="1658" spans="1:9" s="7" customFormat="1" hidden="1">
      <c r="A1658" s="1558"/>
      <c r="B1658" s="343"/>
      <c r="C1658" s="702"/>
      <c r="D1658" s="702"/>
      <c r="E1658" s="702"/>
      <c r="F1658" s="232"/>
      <c r="G1658" s="232"/>
      <c r="H1658" s="231">
        <f t="shared" si="50"/>
        <v>0</v>
      </c>
      <c r="I1658" s="231">
        <f t="shared" si="51"/>
        <v>0</v>
      </c>
    </row>
    <row r="1659" spans="1:9" s="7" customFormat="1" hidden="1">
      <c r="A1659" s="1558"/>
      <c r="B1659" s="343"/>
      <c r="C1659" s="702"/>
      <c r="D1659" s="702"/>
      <c r="E1659" s="702"/>
      <c r="F1659" s="232"/>
      <c r="G1659" s="232"/>
      <c r="H1659" s="231">
        <f t="shared" si="50"/>
        <v>0</v>
      </c>
      <c r="I1659" s="231">
        <f t="shared" si="51"/>
        <v>0</v>
      </c>
    </row>
    <row r="1660" spans="1:9" s="7" customFormat="1" hidden="1">
      <c r="A1660" s="1558"/>
      <c r="B1660" s="343"/>
      <c r="C1660" s="666"/>
      <c r="D1660" s="666"/>
      <c r="E1660" s="667"/>
      <c r="F1660" s="232"/>
      <c r="G1660" s="232"/>
      <c r="H1660" s="231">
        <f t="shared" si="50"/>
        <v>0</v>
      </c>
      <c r="I1660" s="231">
        <f t="shared" si="51"/>
        <v>0</v>
      </c>
    </row>
    <row r="1661" spans="1:9" s="7" customFormat="1" hidden="1">
      <c r="A1661" s="1558"/>
      <c r="B1661" s="119"/>
      <c r="C1661" s="669"/>
      <c r="D1661" s="669"/>
      <c r="E1661" s="669"/>
      <c r="F1661" s="232"/>
      <c r="G1661" s="232"/>
      <c r="H1661" s="231">
        <f t="shared" si="50"/>
        <v>0</v>
      </c>
      <c r="I1661" s="231">
        <f t="shared" si="51"/>
        <v>0</v>
      </c>
    </row>
    <row r="1662" spans="1:9" s="7" customFormat="1" hidden="1">
      <c r="A1662" s="1558"/>
      <c r="B1662" s="352"/>
      <c r="C1662" s="670"/>
      <c r="D1662" s="670"/>
      <c r="E1662" s="671"/>
      <c r="F1662" s="232"/>
      <c r="G1662" s="232"/>
      <c r="H1662" s="231">
        <f t="shared" si="50"/>
        <v>0</v>
      </c>
      <c r="I1662" s="231">
        <f t="shared" si="51"/>
        <v>0</v>
      </c>
    </row>
    <row r="1663" spans="1:9" s="7" customFormat="1" hidden="1">
      <c r="A1663" s="1558"/>
      <c r="B1663" s="352"/>
      <c r="C1663" s="670"/>
      <c r="D1663" s="670"/>
      <c r="E1663" s="671"/>
      <c r="F1663" s="232"/>
      <c r="G1663" s="232"/>
      <c r="H1663" s="231">
        <f t="shared" si="50"/>
        <v>0</v>
      </c>
      <c r="I1663" s="231">
        <f t="shared" si="51"/>
        <v>0</v>
      </c>
    </row>
    <row r="1664" spans="1:9" s="7" customFormat="1" hidden="1">
      <c r="A1664" s="1558"/>
      <c r="B1664" s="352"/>
      <c r="C1664" s="670"/>
      <c r="D1664" s="670"/>
      <c r="E1664" s="671"/>
      <c r="F1664" s="232"/>
      <c r="G1664" s="232"/>
      <c r="H1664" s="231">
        <f t="shared" si="50"/>
        <v>0</v>
      </c>
      <c r="I1664" s="231">
        <f t="shared" si="51"/>
        <v>0</v>
      </c>
    </row>
    <row r="1665" spans="1:9" s="7" customFormat="1" hidden="1">
      <c r="A1665" s="1558"/>
      <c r="B1665" s="352"/>
      <c r="C1665" s="670"/>
      <c r="D1665" s="670"/>
      <c r="E1665" s="671"/>
      <c r="F1665" s="232"/>
      <c r="G1665" s="232"/>
      <c r="H1665" s="231">
        <f t="shared" si="50"/>
        <v>0</v>
      </c>
      <c r="I1665" s="231">
        <f t="shared" si="51"/>
        <v>0</v>
      </c>
    </row>
    <row r="1666" spans="1:9" s="7" customFormat="1" hidden="1">
      <c r="A1666" s="1558"/>
      <c r="B1666" s="352"/>
      <c r="C1666" s="670"/>
      <c r="D1666" s="670"/>
      <c r="E1666" s="671"/>
      <c r="F1666" s="232"/>
      <c r="G1666" s="232"/>
      <c r="H1666" s="231">
        <f t="shared" si="50"/>
        <v>0</v>
      </c>
      <c r="I1666" s="231">
        <f t="shared" si="51"/>
        <v>0</v>
      </c>
    </row>
    <row r="1667" spans="1:9" s="7" customFormat="1" hidden="1">
      <c r="A1667" s="1558"/>
      <c r="B1667" s="352"/>
      <c r="C1667" s="670"/>
      <c r="D1667" s="670"/>
      <c r="E1667" s="671"/>
      <c r="F1667" s="232"/>
      <c r="G1667" s="232"/>
      <c r="H1667" s="231">
        <f t="shared" si="50"/>
        <v>0</v>
      </c>
      <c r="I1667" s="231">
        <f t="shared" si="51"/>
        <v>0</v>
      </c>
    </row>
    <row r="1668" spans="1:9" s="7" customFormat="1" hidden="1">
      <c r="A1668" s="1558"/>
      <c r="B1668" s="352"/>
      <c r="C1668" s="670"/>
      <c r="D1668" s="670"/>
      <c r="E1668" s="671"/>
      <c r="F1668" s="232"/>
      <c r="G1668" s="232"/>
      <c r="H1668" s="231">
        <f t="shared" si="50"/>
        <v>0</v>
      </c>
      <c r="I1668" s="231">
        <f t="shared" si="51"/>
        <v>0</v>
      </c>
    </row>
    <row r="1669" spans="1:9" s="7" customFormat="1" hidden="1">
      <c r="A1669" s="1558"/>
      <c r="B1669" s="352"/>
      <c r="C1669" s="670"/>
      <c r="D1669" s="670"/>
      <c r="E1669" s="671"/>
      <c r="F1669" s="232"/>
      <c r="G1669" s="232"/>
      <c r="H1669" s="231">
        <f t="shared" si="50"/>
        <v>0</v>
      </c>
      <c r="I1669" s="231">
        <f t="shared" si="51"/>
        <v>0</v>
      </c>
    </row>
    <row r="1670" spans="1:9" s="7" customFormat="1" hidden="1">
      <c r="A1670" s="1558"/>
      <c r="B1670" s="352"/>
      <c r="C1670" s="670"/>
      <c r="D1670" s="670"/>
      <c r="E1670" s="671"/>
      <c r="F1670" s="232"/>
      <c r="G1670" s="232"/>
      <c r="H1670" s="231">
        <f t="shared" si="50"/>
        <v>0</v>
      </c>
      <c r="I1670" s="231">
        <f t="shared" si="51"/>
        <v>0</v>
      </c>
    </row>
    <row r="1671" spans="1:9" s="7" customFormat="1" hidden="1">
      <c r="A1671" s="1558"/>
      <c r="B1671" s="352"/>
      <c r="C1671" s="670"/>
      <c r="D1671" s="670"/>
      <c r="E1671" s="671"/>
      <c r="F1671" s="232"/>
      <c r="G1671" s="232"/>
      <c r="H1671" s="231">
        <f t="shared" si="50"/>
        <v>0</v>
      </c>
      <c r="I1671" s="231">
        <f t="shared" si="51"/>
        <v>0</v>
      </c>
    </row>
    <row r="1672" spans="1:9" s="7" customFormat="1" hidden="1">
      <c r="A1672" s="1558"/>
      <c r="B1672" s="352"/>
      <c r="C1672" s="670"/>
      <c r="D1672" s="670"/>
      <c r="E1672" s="671"/>
      <c r="F1672" s="232"/>
      <c r="G1672" s="232"/>
      <c r="H1672" s="231">
        <f t="shared" si="50"/>
        <v>0</v>
      </c>
      <c r="I1672" s="231">
        <f t="shared" si="51"/>
        <v>0</v>
      </c>
    </row>
    <row r="1673" spans="1:9" s="7" customFormat="1" hidden="1">
      <c r="A1673" s="1558"/>
      <c r="B1673" s="352"/>
      <c r="C1673" s="670"/>
      <c r="D1673" s="670"/>
      <c r="E1673" s="671"/>
      <c r="F1673" s="232"/>
      <c r="G1673" s="232"/>
      <c r="H1673" s="231">
        <f t="shared" ref="H1673:H1736" si="52">E1673+D1673-C1673</f>
        <v>0</v>
      </c>
      <c r="I1673" s="231">
        <f t="shared" ref="I1673:I1736" si="53">SUM(C1673:E1673)</f>
        <v>0</v>
      </c>
    </row>
    <row r="1674" spans="1:9" s="7" customFormat="1" hidden="1">
      <c r="A1674" s="1558"/>
      <c r="B1674" s="352"/>
      <c r="C1674" s="670"/>
      <c r="D1674" s="670"/>
      <c r="E1674" s="671"/>
      <c r="F1674" s="232"/>
      <c r="G1674" s="232"/>
      <c r="H1674" s="231">
        <f t="shared" si="52"/>
        <v>0</v>
      </c>
      <c r="I1674" s="231">
        <f t="shared" si="53"/>
        <v>0</v>
      </c>
    </row>
    <row r="1675" spans="1:9" s="7" customFormat="1" hidden="1">
      <c r="A1675" s="1558"/>
      <c r="B1675" s="352"/>
      <c r="C1675" s="670"/>
      <c r="D1675" s="670"/>
      <c r="E1675" s="671"/>
      <c r="F1675" s="232"/>
      <c r="G1675" s="232"/>
      <c r="H1675" s="231">
        <f t="shared" si="52"/>
        <v>0</v>
      </c>
      <c r="I1675" s="231">
        <f t="shared" si="53"/>
        <v>0</v>
      </c>
    </row>
    <row r="1676" spans="1:9" s="7" customFormat="1" hidden="1">
      <c r="A1676" s="1558"/>
      <c r="B1676" s="352"/>
      <c r="C1676" s="670"/>
      <c r="D1676" s="670"/>
      <c r="E1676" s="671"/>
      <c r="F1676" s="232"/>
      <c r="G1676" s="232"/>
      <c r="H1676" s="231">
        <f t="shared" si="52"/>
        <v>0</v>
      </c>
      <c r="I1676" s="231">
        <f t="shared" si="53"/>
        <v>0</v>
      </c>
    </row>
    <row r="1677" spans="1:9" s="7" customFormat="1" hidden="1">
      <c r="A1677" s="1558"/>
      <c r="B1677" s="352"/>
      <c r="C1677" s="670"/>
      <c r="D1677" s="670"/>
      <c r="E1677" s="671"/>
      <c r="F1677" s="232"/>
      <c r="G1677" s="232"/>
      <c r="H1677" s="231">
        <f t="shared" si="52"/>
        <v>0</v>
      </c>
      <c r="I1677" s="231">
        <f t="shared" si="53"/>
        <v>0</v>
      </c>
    </row>
    <row r="1678" spans="1:9" s="7" customFormat="1" hidden="1">
      <c r="A1678" s="1558"/>
      <c r="B1678" s="352"/>
      <c r="C1678" s="670"/>
      <c r="D1678" s="670"/>
      <c r="E1678" s="671"/>
      <c r="F1678" s="232"/>
      <c r="G1678" s="232"/>
      <c r="H1678" s="231">
        <f t="shared" si="52"/>
        <v>0</v>
      </c>
      <c r="I1678" s="231">
        <f t="shared" si="53"/>
        <v>0</v>
      </c>
    </row>
    <row r="1679" spans="1:9" s="7" customFormat="1" hidden="1">
      <c r="A1679" s="1558"/>
      <c r="B1679" s="352"/>
      <c r="C1679" s="670"/>
      <c r="D1679" s="670"/>
      <c r="E1679" s="671"/>
      <c r="F1679" s="232"/>
      <c r="G1679" s="232"/>
      <c r="H1679" s="231">
        <f t="shared" si="52"/>
        <v>0</v>
      </c>
      <c r="I1679" s="231">
        <f t="shared" si="53"/>
        <v>0</v>
      </c>
    </row>
    <row r="1680" spans="1:9" s="7" customFormat="1" hidden="1">
      <c r="A1680" s="1558"/>
      <c r="B1680" s="352"/>
      <c r="C1680" s="670"/>
      <c r="D1680" s="670"/>
      <c r="E1680" s="671"/>
      <c r="F1680" s="232"/>
      <c r="G1680" s="232"/>
      <c r="H1680" s="231">
        <f t="shared" si="52"/>
        <v>0</v>
      </c>
      <c r="I1680" s="231">
        <f t="shared" si="53"/>
        <v>0</v>
      </c>
    </row>
    <row r="1681" spans="1:9" s="7" customFormat="1" hidden="1">
      <c r="A1681" s="1558"/>
      <c r="B1681" s="352"/>
      <c r="C1681" s="670"/>
      <c r="D1681" s="670"/>
      <c r="E1681" s="671"/>
      <c r="F1681" s="232"/>
      <c r="G1681" s="232"/>
      <c r="H1681" s="231">
        <f t="shared" si="52"/>
        <v>0</v>
      </c>
      <c r="I1681" s="231">
        <f t="shared" si="53"/>
        <v>0</v>
      </c>
    </row>
    <row r="1682" spans="1:9" s="7" customFormat="1" hidden="1">
      <c r="A1682" s="1558"/>
      <c r="B1682" s="352"/>
      <c r="C1682" s="670"/>
      <c r="D1682" s="670"/>
      <c r="E1682" s="671"/>
      <c r="F1682" s="232"/>
      <c r="G1682" s="232"/>
      <c r="H1682" s="231">
        <f t="shared" si="52"/>
        <v>0</v>
      </c>
      <c r="I1682" s="231">
        <f t="shared" si="53"/>
        <v>0</v>
      </c>
    </row>
    <row r="1683" spans="1:9" s="7" customFormat="1" hidden="1">
      <c r="A1683" s="1558"/>
      <c r="B1683" s="352"/>
      <c r="C1683" s="670"/>
      <c r="D1683" s="670"/>
      <c r="E1683" s="671"/>
      <c r="F1683" s="232"/>
      <c r="G1683" s="232"/>
      <c r="H1683" s="231">
        <f t="shared" si="52"/>
        <v>0</v>
      </c>
      <c r="I1683" s="231">
        <f t="shared" si="53"/>
        <v>0</v>
      </c>
    </row>
    <row r="1684" spans="1:9" s="7" customFormat="1" hidden="1">
      <c r="A1684" s="1558"/>
      <c r="B1684" s="352"/>
      <c r="C1684" s="670"/>
      <c r="D1684" s="670"/>
      <c r="E1684" s="671"/>
      <c r="F1684" s="232"/>
      <c r="G1684" s="232"/>
      <c r="H1684" s="231">
        <f t="shared" si="52"/>
        <v>0</v>
      </c>
      <c r="I1684" s="231">
        <f t="shared" si="53"/>
        <v>0</v>
      </c>
    </row>
    <row r="1685" spans="1:9" s="7" customFormat="1" hidden="1">
      <c r="A1685" s="1558"/>
      <c r="B1685" s="352"/>
      <c r="C1685" s="670"/>
      <c r="D1685" s="670"/>
      <c r="E1685" s="671"/>
      <c r="F1685" s="232"/>
      <c r="G1685" s="232"/>
      <c r="H1685" s="231">
        <f t="shared" si="52"/>
        <v>0</v>
      </c>
      <c r="I1685" s="231">
        <f t="shared" si="53"/>
        <v>0</v>
      </c>
    </row>
    <row r="1686" spans="1:9" s="7" customFormat="1" hidden="1">
      <c r="A1686" s="1554"/>
      <c r="B1686" s="352"/>
      <c r="C1686" s="670"/>
      <c r="D1686" s="664"/>
      <c r="E1686" s="665"/>
      <c r="F1686" s="232"/>
      <c r="G1686" s="232"/>
      <c r="H1686" s="231">
        <f t="shared" si="52"/>
        <v>0</v>
      </c>
      <c r="I1686" s="231">
        <f t="shared" si="53"/>
        <v>0</v>
      </c>
    </row>
    <row r="1687" spans="1:9" s="7" customFormat="1" hidden="1">
      <c r="A1687" s="1554"/>
      <c r="B1687" s="352"/>
      <c r="C1687" s="670"/>
      <c r="D1687" s="670"/>
      <c r="E1687" s="671"/>
      <c r="F1687" s="232"/>
      <c r="G1687" s="232"/>
      <c r="H1687" s="231">
        <f t="shared" si="52"/>
        <v>0</v>
      </c>
      <c r="I1687" s="231">
        <f t="shared" si="53"/>
        <v>0</v>
      </c>
    </row>
    <row r="1688" spans="1:9" s="7" customFormat="1" hidden="1">
      <c r="A1688" s="1554"/>
      <c r="B1688" s="352"/>
      <c r="C1688" s="670"/>
      <c r="D1688" s="670"/>
      <c r="E1688" s="671"/>
      <c r="F1688" s="232"/>
      <c r="G1688" s="232"/>
      <c r="H1688" s="231">
        <f t="shared" si="52"/>
        <v>0</v>
      </c>
      <c r="I1688" s="231">
        <f t="shared" si="53"/>
        <v>0</v>
      </c>
    </row>
    <row r="1689" spans="1:9" s="7" customFormat="1" hidden="1">
      <c r="A1689" s="1554"/>
      <c r="B1689" s="352"/>
      <c r="C1689" s="670"/>
      <c r="D1689" s="670"/>
      <c r="E1689" s="671"/>
      <c r="F1689" s="232"/>
      <c r="G1689" s="232"/>
      <c r="H1689" s="231">
        <f t="shared" si="52"/>
        <v>0</v>
      </c>
      <c r="I1689" s="231">
        <f t="shared" si="53"/>
        <v>0</v>
      </c>
    </row>
    <row r="1690" spans="1:9" s="7" customFormat="1" hidden="1">
      <c r="A1690" s="1554"/>
      <c r="B1690" s="352"/>
      <c r="C1690" s="670"/>
      <c r="D1690" s="670"/>
      <c r="E1690" s="671"/>
      <c r="F1690" s="232"/>
      <c r="G1690" s="232"/>
      <c r="H1690" s="231">
        <f t="shared" si="52"/>
        <v>0</v>
      </c>
      <c r="I1690" s="231">
        <f t="shared" si="53"/>
        <v>0</v>
      </c>
    </row>
    <row r="1691" spans="1:9" s="7" customFormat="1" hidden="1">
      <c r="A1691" s="1554"/>
      <c r="B1691" s="352"/>
      <c r="C1691" s="670"/>
      <c r="D1691" s="670"/>
      <c r="E1691" s="671"/>
      <c r="F1691" s="232"/>
      <c r="G1691" s="232"/>
      <c r="H1691" s="231">
        <f t="shared" si="52"/>
        <v>0</v>
      </c>
      <c r="I1691" s="231">
        <f t="shared" si="53"/>
        <v>0</v>
      </c>
    </row>
    <row r="1692" spans="1:9" s="7" customFormat="1" hidden="1">
      <c r="A1692" s="1554"/>
      <c r="B1692" s="352"/>
      <c r="C1692" s="670"/>
      <c r="D1692" s="670"/>
      <c r="E1692" s="671"/>
      <c r="F1692" s="232"/>
      <c r="G1692" s="232"/>
      <c r="H1692" s="231">
        <f t="shared" si="52"/>
        <v>0</v>
      </c>
      <c r="I1692" s="231">
        <f t="shared" si="53"/>
        <v>0</v>
      </c>
    </row>
    <row r="1693" spans="1:9" s="7" customFormat="1" hidden="1">
      <c r="A1693" s="1554"/>
      <c r="B1693" s="352"/>
      <c r="C1693" s="670"/>
      <c r="D1693" s="670"/>
      <c r="E1693" s="671"/>
      <c r="F1693" s="232"/>
      <c r="G1693" s="232"/>
      <c r="H1693" s="231">
        <f t="shared" si="52"/>
        <v>0</v>
      </c>
      <c r="I1693" s="231">
        <f t="shared" si="53"/>
        <v>0</v>
      </c>
    </row>
    <row r="1694" spans="1:9" s="7" customFormat="1" hidden="1">
      <c r="A1694" s="1554"/>
      <c r="B1694" s="352"/>
      <c r="C1694" s="670"/>
      <c r="D1694" s="670"/>
      <c r="E1694" s="671"/>
      <c r="F1694" s="232"/>
      <c r="G1694" s="232"/>
      <c r="H1694" s="231">
        <f t="shared" si="52"/>
        <v>0</v>
      </c>
      <c r="I1694" s="231">
        <f t="shared" si="53"/>
        <v>0</v>
      </c>
    </row>
    <row r="1695" spans="1:9" s="7" customFormat="1" hidden="1">
      <c r="A1695" s="1554"/>
      <c r="B1695" s="352"/>
      <c r="C1695" s="670"/>
      <c r="D1695" s="670"/>
      <c r="E1695" s="671"/>
      <c r="F1695" s="232"/>
      <c r="G1695" s="232"/>
      <c r="H1695" s="231">
        <f t="shared" si="52"/>
        <v>0</v>
      </c>
      <c r="I1695" s="231">
        <f t="shared" si="53"/>
        <v>0</v>
      </c>
    </row>
    <row r="1696" spans="1:9" s="7" customFormat="1" hidden="1">
      <c r="A1696" s="1554"/>
      <c r="B1696" s="352"/>
      <c r="C1696" s="670"/>
      <c r="D1696" s="670"/>
      <c r="E1696" s="671"/>
      <c r="F1696" s="232"/>
      <c r="G1696" s="232"/>
      <c r="H1696" s="231">
        <f t="shared" si="52"/>
        <v>0</v>
      </c>
      <c r="I1696" s="231">
        <f t="shared" si="53"/>
        <v>0</v>
      </c>
    </row>
    <row r="1697" spans="1:9" s="7" customFormat="1" hidden="1">
      <c r="A1697" s="1554"/>
      <c r="B1697" s="352"/>
      <c r="C1697" s="670"/>
      <c r="D1697" s="670"/>
      <c r="E1697" s="671"/>
      <c r="F1697" s="232"/>
      <c r="G1697" s="232"/>
      <c r="H1697" s="231">
        <f t="shared" si="52"/>
        <v>0</v>
      </c>
      <c r="I1697" s="231">
        <f t="shared" si="53"/>
        <v>0</v>
      </c>
    </row>
    <row r="1698" spans="1:9" s="7" customFormat="1" hidden="1">
      <c r="A1698" s="1554"/>
      <c r="B1698" s="352"/>
      <c r="C1698" s="670"/>
      <c r="D1698" s="670"/>
      <c r="E1698" s="671"/>
      <c r="F1698" s="232"/>
      <c r="G1698" s="232"/>
      <c r="H1698" s="231">
        <f t="shared" si="52"/>
        <v>0</v>
      </c>
      <c r="I1698" s="231">
        <f t="shared" si="53"/>
        <v>0</v>
      </c>
    </row>
    <row r="1699" spans="1:9" s="7" customFormat="1" hidden="1">
      <c r="A1699" s="1554"/>
      <c r="B1699" s="352"/>
      <c r="C1699" s="670"/>
      <c r="D1699" s="670"/>
      <c r="E1699" s="671"/>
      <c r="F1699" s="232"/>
      <c r="G1699" s="232"/>
      <c r="H1699" s="231">
        <f t="shared" si="52"/>
        <v>0</v>
      </c>
      <c r="I1699" s="231">
        <f t="shared" si="53"/>
        <v>0</v>
      </c>
    </row>
    <row r="1700" spans="1:9" s="7" customFormat="1" hidden="1">
      <c r="A1700" s="1554"/>
      <c r="B1700" s="352"/>
      <c r="C1700" s="670"/>
      <c r="D1700" s="670"/>
      <c r="E1700" s="671"/>
      <c r="F1700" s="232"/>
      <c r="G1700" s="232"/>
      <c r="H1700" s="231">
        <f t="shared" si="52"/>
        <v>0</v>
      </c>
      <c r="I1700" s="231">
        <f t="shared" si="53"/>
        <v>0</v>
      </c>
    </row>
    <row r="1701" spans="1:9" s="7" customFormat="1" hidden="1">
      <c r="A1701" s="1554"/>
      <c r="B1701" s="352"/>
      <c r="C1701" s="670"/>
      <c r="D1701" s="670"/>
      <c r="E1701" s="671"/>
      <c r="F1701" s="232"/>
      <c r="G1701" s="232"/>
      <c r="H1701" s="231">
        <f t="shared" si="52"/>
        <v>0</v>
      </c>
      <c r="I1701" s="231">
        <f t="shared" si="53"/>
        <v>0</v>
      </c>
    </row>
    <row r="1702" spans="1:9" s="7" customFormat="1" hidden="1">
      <c r="A1702" s="1554"/>
      <c r="B1702" s="352"/>
      <c r="C1702" s="670"/>
      <c r="D1702" s="670"/>
      <c r="E1702" s="671"/>
      <c r="F1702" s="232"/>
      <c r="G1702" s="232"/>
      <c r="H1702" s="231">
        <f t="shared" si="52"/>
        <v>0</v>
      </c>
      <c r="I1702" s="231">
        <f t="shared" si="53"/>
        <v>0</v>
      </c>
    </row>
    <row r="1703" spans="1:9" s="7" customFormat="1" hidden="1">
      <c r="A1703" s="1554"/>
      <c r="B1703" s="352"/>
      <c r="C1703" s="670"/>
      <c r="D1703" s="670"/>
      <c r="E1703" s="671"/>
      <c r="F1703" s="232"/>
      <c r="G1703" s="232"/>
      <c r="H1703" s="231">
        <f t="shared" si="52"/>
        <v>0</v>
      </c>
      <c r="I1703" s="231">
        <f t="shared" si="53"/>
        <v>0</v>
      </c>
    </row>
    <row r="1704" spans="1:9" s="7" customFormat="1" hidden="1">
      <c r="A1704" s="1554"/>
      <c r="B1704" s="352"/>
      <c r="C1704" s="670"/>
      <c r="D1704" s="670"/>
      <c r="E1704" s="671"/>
      <c r="F1704" s="232"/>
      <c r="G1704" s="232"/>
      <c r="H1704" s="231">
        <f t="shared" si="52"/>
        <v>0</v>
      </c>
      <c r="I1704" s="231">
        <f t="shared" si="53"/>
        <v>0</v>
      </c>
    </row>
    <row r="1705" spans="1:9" s="7" customFormat="1" hidden="1">
      <c r="A1705" s="1554"/>
      <c r="B1705" s="352"/>
      <c r="C1705" s="670"/>
      <c r="D1705" s="670"/>
      <c r="E1705" s="671"/>
      <c r="F1705" s="232"/>
      <c r="G1705" s="232"/>
      <c r="H1705" s="231">
        <f t="shared" si="52"/>
        <v>0</v>
      </c>
      <c r="I1705" s="231">
        <f t="shared" si="53"/>
        <v>0</v>
      </c>
    </row>
    <row r="1706" spans="1:9" s="7" customFormat="1" hidden="1">
      <c r="A1706" s="1554"/>
      <c r="B1706" s="352"/>
      <c r="C1706" s="670"/>
      <c r="D1706" s="670"/>
      <c r="E1706" s="671"/>
      <c r="F1706" s="232"/>
      <c r="G1706" s="232"/>
      <c r="H1706" s="231">
        <f t="shared" si="52"/>
        <v>0</v>
      </c>
      <c r="I1706" s="231">
        <f t="shared" si="53"/>
        <v>0</v>
      </c>
    </row>
    <row r="1707" spans="1:9" s="7" customFormat="1" hidden="1">
      <c r="A1707" s="1554"/>
      <c r="B1707" s="352"/>
      <c r="C1707" s="670"/>
      <c r="D1707" s="670"/>
      <c r="E1707" s="671"/>
      <c r="F1707" s="232"/>
      <c r="G1707" s="232"/>
      <c r="H1707" s="231">
        <f t="shared" si="52"/>
        <v>0</v>
      </c>
      <c r="I1707" s="231">
        <f t="shared" si="53"/>
        <v>0</v>
      </c>
    </row>
    <row r="1708" spans="1:9" s="7" customFormat="1" hidden="1">
      <c r="A1708" s="1554"/>
      <c r="B1708" s="359"/>
      <c r="C1708" s="660"/>
      <c r="D1708" s="660"/>
      <c r="E1708" s="660"/>
      <c r="F1708" s="232"/>
      <c r="G1708" s="232"/>
      <c r="H1708" s="231">
        <f t="shared" si="52"/>
        <v>0</v>
      </c>
      <c r="I1708" s="231">
        <f t="shared" si="53"/>
        <v>0</v>
      </c>
    </row>
    <row r="1709" spans="1:9" s="7" customFormat="1" hidden="1">
      <c r="A1709" s="1554"/>
      <c r="B1709" s="359"/>
      <c r="C1709" s="660"/>
      <c r="D1709" s="660"/>
      <c r="E1709" s="660"/>
      <c r="F1709" s="232"/>
      <c r="G1709" s="232"/>
      <c r="H1709" s="231">
        <f t="shared" si="52"/>
        <v>0</v>
      </c>
      <c r="I1709" s="231">
        <f t="shared" si="53"/>
        <v>0</v>
      </c>
    </row>
    <row r="1710" spans="1:9" s="7" customFormat="1" hidden="1">
      <c r="A1710" s="1554"/>
      <c r="B1710" s="359"/>
      <c r="C1710" s="660"/>
      <c r="D1710" s="660"/>
      <c r="E1710" s="660"/>
      <c r="F1710" s="232"/>
      <c r="G1710" s="232"/>
      <c r="H1710" s="231">
        <f t="shared" si="52"/>
        <v>0</v>
      </c>
      <c r="I1710" s="231">
        <f t="shared" si="53"/>
        <v>0</v>
      </c>
    </row>
    <row r="1711" spans="1:9" s="7" customFormat="1" hidden="1">
      <c r="A1711" s="1554"/>
      <c r="B1711" s="359"/>
      <c r="C1711" s="660"/>
      <c r="D1711" s="660"/>
      <c r="E1711" s="660"/>
      <c r="F1711" s="232"/>
      <c r="G1711" s="232"/>
      <c r="H1711" s="231">
        <f t="shared" si="52"/>
        <v>0</v>
      </c>
      <c r="I1711" s="231">
        <f t="shared" si="53"/>
        <v>0</v>
      </c>
    </row>
    <row r="1712" spans="1:9" s="7" customFormat="1" hidden="1">
      <c r="A1712" s="1554"/>
      <c r="B1712" s="359"/>
      <c r="C1712" s="694"/>
      <c r="D1712" s="660"/>
      <c r="E1712" s="660"/>
      <c r="F1712" s="232"/>
      <c r="G1712" s="232"/>
      <c r="H1712" s="231">
        <f t="shared" si="52"/>
        <v>0</v>
      </c>
      <c r="I1712" s="231">
        <f t="shared" si="53"/>
        <v>0</v>
      </c>
    </row>
    <row r="1713" spans="1:9" s="7" customFormat="1" hidden="1">
      <c r="A1713" s="1554"/>
      <c r="B1713" s="369"/>
      <c r="C1713" s="661"/>
      <c r="D1713" s="661"/>
      <c r="E1713" s="662"/>
      <c r="F1713" s="232"/>
      <c r="G1713" s="232"/>
      <c r="H1713" s="231">
        <f t="shared" si="52"/>
        <v>0</v>
      </c>
      <c r="I1713" s="231">
        <f t="shared" si="53"/>
        <v>0</v>
      </c>
    </row>
    <row r="1714" spans="1:9" s="7" customFormat="1" hidden="1">
      <c r="A1714" s="1554"/>
      <c r="B1714" s="369"/>
      <c r="C1714" s="661"/>
      <c r="D1714" s="661"/>
      <c r="E1714" s="662"/>
      <c r="F1714" s="232"/>
      <c r="G1714" s="232"/>
      <c r="H1714" s="231">
        <f t="shared" si="52"/>
        <v>0</v>
      </c>
      <c r="I1714" s="231">
        <f t="shared" si="53"/>
        <v>0</v>
      </c>
    </row>
    <row r="1715" spans="1:9" s="7" customFormat="1" hidden="1">
      <c r="A1715" s="1554"/>
      <c r="B1715" s="370"/>
      <c r="C1715" s="661"/>
      <c r="D1715" s="661"/>
      <c r="E1715" s="662"/>
      <c r="F1715" s="232"/>
      <c r="G1715" s="232"/>
      <c r="H1715" s="231">
        <f t="shared" si="52"/>
        <v>0</v>
      </c>
      <c r="I1715" s="231">
        <f t="shared" si="53"/>
        <v>0</v>
      </c>
    </row>
    <row r="1716" spans="1:9" s="7" customFormat="1" hidden="1">
      <c r="A1716" s="1554"/>
      <c r="B1716" s="370"/>
      <c r="C1716" s="661"/>
      <c r="D1716" s="661"/>
      <c r="E1716" s="662"/>
      <c r="F1716" s="232"/>
      <c r="G1716" s="232"/>
      <c r="H1716" s="231">
        <f t="shared" si="52"/>
        <v>0</v>
      </c>
      <c r="I1716" s="231">
        <f t="shared" si="53"/>
        <v>0</v>
      </c>
    </row>
    <row r="1717" spans="1:9" s="7" customFormat="1" hidden="1">
      <c r="A1717" s="1554"/>
      <c r="B1717" s="370"/>
      <c r="C1717" s="661"/>
      <c r="D1717" s="661"/>
      <c r="E1717" s="662"/>
      <c r="F1717" s="232"/>
      <c r="G1717" s="232"/>
      <c r="H1717" s="231">
        <f t="shared" si="52"/>
        <v>0</v>
      </c>
      <c r="I1717" s="231">
        <f t="shared" si="53"/>
        <v>0</v>
      </c>
    </row>
    <row r="1718" spans="1:9" s="7" customFormat="1" hidden="1">
      <c r="A1718" s="1554"/>
      <c r="B1718" s="385"/>
      <c r="C1718" s="638"/>
      <c r="D1718" s="638"/>
      <c r="E1718" s="639"/>
      <c r="F1718" s="232"/>
      <c r="G1718" s="232"/>
      <c r="H1718" s="231">
        <f t="shared" si="52"/>
        <v>0</v>
      </c>
      <c r="I1718" s="231">
        <f t="shared" si="53"/>
        <v>0</v>
      </c>
    </row>
    <row r="1719" spans="1:9" s="7" customFormat="1" hidden="1">
      <c r="A1719" s="1554"/>
      <c r="B1719" s="385"/>
      <c r="C1719" s="638"/>
      <c r="D1719" s="638"/>
      <c r="E1719" s="639"/>
      <c r="F1719" s="232"/>
      <c r="G1719" s="232"/>
      <c r="H1719" s="231">
        <f t="shared" si="52"/>
        <v>0</v>
      </c>
      <c r="I1719" s="231">
        <f t="shared" si="53"/>
        <v>0</v>
      </c>
    </row>
    <row r="1720" spans="1:9" s="7" customFormat="1" hidden="1">
      <c r="A1720" s="1554"/>
      <c r="B1720" s="385"/>
      <c r="C1720" s="638"/>
      <c r="D1720" s="638"/>
      <c r="E1720" s="639"/>
      <c r="F1720" s="232"/>
      <c r="G1720" s="232"/>
      <c r="H1720" s="231">
        <f t="shared" si="52"/>
        <v>0</v>
      </c>
      <c r="I1720" s="231">
        <f t="shared" si="53"/>
        <v>0</v>
      </c>
    </row>
    <row r="1721" spans="1:9" s="7" customFormat="1" hidden="1">
      <c r="A1721" s="1554"/>
      <c r="B1721" s="385"/>
      <c r="C1721" s="638"/>
      <c r="D1721" s="638"/>
      <c r="E1721" s="639"/>
      <c r="F1721" s="232"/>
      <c r="G1721" s="232"/>
      <c r="H1721" s="231">
        <f t="shared" si="52"/>
        <v>0</v>
      </c>
      <c r="I1721" s="231">
        <f t="shared" si="53"/>
        <v>0</v>
      </c>
    </row>
    <row r="1722" spans="1:9" s="7" customFormat="1" hidden="1">
      <c r="A1722" s="1554"/>
      <c r="B1722" s="385"/>
      <c r="C1722" s="638"/>
      <c r="D1722" s="638"/>
      <c r="E1722" s="639"/>
      <c r="F1722" s="232"/>
      <c r="G1722" s="232"/>
      <c r="H1722" s="231">
        <f t="shared" si="52"/>
        <v>0</v>
      </c>
      <c r="I1722" s="231">
        <f t="shared" si="53"/>
        <v>0</v>
      </c>
    </row>
    <row r="1723" spans="1:9" s="7" customFormat="1" hidden="1">
      <c r="A1723" s="1554"/>
      <c r="B1723" s="385"/>
      <c r="C1723" s="638"/>
      <c r="D1723" s="638"/>
      <c r="E1723" s="639"/>
      <c r="F1723" s="232"/>
      <c r="G1723" s="232"/>
      <c r="H1723" s="231">
        <f t="shared" si="52"/>
        <v>0</v>
      </c>
      <c r="I1723" s="231">
        <f t="shared" si="53"/>
        <v>0</v>
      </c>
    </row>
    <row r="1724" spans="1:9" s="7" customFormat="1" hidden="1">
      <c r="A1724" s="1554"/>
      <c r="B1724" s="385"/>
      <c r="C1724" s="638"/>
      <c r="D1724" s="638"/>
      <c r="E1724" s="639"/>
      <c r="F1724" s="232"/>
      <c r="G1724" s="232"/>
      <c r="H1724" s="231">
        <f t="shared" si="52"/>
        <v>0</v>
      </c>
      <c r="I1724" s="231">
        <f t="shared" si="53"/>
        <v>0</v>
      </c>
    </row>
    <row r="1725" spans="1:9" s="7" customFormat="1" hidden="1">
      <c r="A1725" s="1554"/>
      <c r="B1725" s="385"/>
      <c r="C1725" s="638"/>
      <c r="D1725" s="638"/>
      <c r="E1725" s="639"/>
      <c r="F1725" s="232"/>
      <c r="G1725" s="232"/>
      <c r="H1725" s="231">
        <f t="shared" si="52"/>
        <v>0</v>
      </c>
      <c r="I1725" s="231">
        <f t="shared" si="53"/>
        <v>0</v>
      </c>
    </row>
    <row r="1726" spans="1:9" s="7" customFormat="1" hidden="1">
      <c r="A1726" s="1554"/>
      <c r="B1726" s="385"/>
      <c r="C1726" s="638"/>
      <c r="D1726" s="638"/>
      <c r="E1726" s="639"/>
      <c r="F1726" s="232"/>
      <c r="G1726" s="232"/>
      <c r="H1726" s="231">
        <f t="shared" si="52"/>
        <v>0</v>
      </c>
      <c r="I1726" s="231">
        <f t="shared" si="53"/>
        <v>0</v>
      </c>
    </row>
    <row r="1727" spans="1:9" s="7" customFormat="1" hidden="1">
      <c r="A1727" s="1554"/>
      <c r="B1727" s="385"/>
      <c r="C1727" s="638"/>
      <c r="D1727" s="638"/>
      <c r="E1727" s="639"/>
      <c r="F1727" s="232"/>
      <c r="G1727" s="232"/>
      <c r="H1727" s="231">
        <f t="shared" si="52"/>
        <v>0</v>
      </c>
      <c r="I1727" s="231">
        <f t="shared" si="53"/>
        <v>0</v>
      </c>
    </row>
    <row r="1728" spans="1:9" s="7" customFormat="1" hidden="1">
      <c r="A1728" s="1554"/>
      <c r="B1728" s="385"/>
      <c r="C1728" s="638"/>
      <c r="D1728" s="638"/>
      <c r="E1728" s="639"/>
      <c r="F1728" s="232"/>
      <c r="G1728" s="232"/>
      <c r="H1728" s="231">
        <f t="shared" si="52"/>
        <v>0</v>
      </c>
      <c r="I1728" s="231">
        <f t="shared" si="53"/>
        <v>0</v>
      </c>
    </row>
    <row r="1729" spans="1:9" s="7" customFormat="1" hidden="1">
      <c r="A1729" s="1554"/>
      <c r="B1729" s="385"/>
      <c r="C1729" s="638"/>
      <c r="D1729" s="638"/>
      <c r="E1729" s="639"/>
      <c r="F1729" s="232"/>
      <c r="G1729" s="232"/>
      <c r="H1729" s="231">
        <f t="shared" si="52"/>
        <v>0</v>
      </c>
      <c r="I1729" s="231">
        <f t="shared" si="53"/>
        <v>0</v>
      </c>
    </row>
    <row r="1730" spans="1:9" s="7" customFormat="1" hidden="1">
      <c r="A1730" s="1554"/>
      <c r="B1730" s="385"/>
      <c r="C1730" s="638"/>
      <c r="D1730" s="638"/>
      <c r="E1730" s="639"/>
      <c r="F1730" s="232"/>
      <c r="G1730" s="232"/>
      <c r="H1730" s="231">
        <f t="shared" si="52"/>
        <v>0</v>
      </c>
      <c r="I1730" s="231">
        <f t="shared" si="53"/>
        <v>0</v>
      </c>
    </row>
    <row r="1731" spans="1:9" s="7" customFormat="1" hidden="1">
      <c r="A1731" s="1554"/>
      <c r="B1731" s="385"/>
      <c r="C1731" s="638"/>
      <c r="D1731" s="638"/>
      <c r="E1731" s="639"/>
      <c r="F1731" s="232"/>
      <c r="G1731" s="232"/>
      <c r="H1731" s="231">
        <f t="shared" si="52"/>
        <v>0</v>
      </c>
      <c r="I1731" s="231">
        <f t="shared" si="53"/>
        <v>0</v>
      </c>
    </row>
    <row r="1732" spans="1:9" s="7" customFormat="1" hidden="1">
      <c r="A1732" s="1554"/>
      <c r="B1732" s="385"/>
      <c r="C1732" s="638"/>
      <c r="D1732" s="638"/>
      <c r="E1732" s="639"/>
      <c r="F1732" s="232"/>
      <c r="G1732" s="232"/>
      <c r="H1732" s="231">
        <f t="shared" si="52"/>
        <v>0</v>
      </c>
      <c r="I1732" s="231">
        <f t="shared" si="53"/>
        <v>0</v>
      </c>
    </row>
    <row r="1733" spans="1:9" s="7" customFormat="1" hidden="1">
      <c r="A1733" s="1554"/>
      <c r="B1733" s="385"/>
      <c r="C1733" s="638"/>
      <c r="D1733" s="638"/>
      <c r="E1733" s="639"/>
      <c r="F1733" s="232"/>
      <c r="G1733" s="232"/>
      <c r="H1733" s="231">
        <f t="shared" si="52"/>
        <v>0</v>
      </c>
      <c r="I1733" s="231">
        <f t="shared" si="53"/>
        <v>0</v>
      </c>
    </row>
    <row r="1734" spans="1:9" s="7" customFormat="1" hidden="1">
      <c r="A1734" s="1554"/>
      <c r="B1734" s="385"/>
      <c r="C1734" s="638"/>
      <c r="D1734" s="638"/>
      <c r="E1734" s="639"/>
      <c r="F1734" s="232"/>
      <c r="G1734" s="232"/>
      <c r="H1734" s="231">
        <f t="shared" si="52"/>
        <v>0</v>
      </c>
      <c r="I1734" s="231">
        <f t="shared" si="53"/>
        <v>0</v>
      </c>
    </row>
    <row r="1735" spans="1:9" s="7" customFormat="1" hidden="1">
      <c r="A1735" s="1554"/>
      <c r="B1735" s="385"/>
      <c r="C1735" s="638"/>
      <c r="D1735" s="638"/>
      <c r="E1735" s="639"/>
      <c r="F1735" s="232"/>
      <c r="G1735" s="232"/>
      <c r="H1735" s="231">
        <f t="shared" si="52"/>
        <v>0</v>
      </c>
      <c r="I1735" s="231">
        <f t="shared" si="53"/>
        <v>0</v>
      </c>
    </row>
    <row r="1736" spans="1:9" s="7" customFormat="1" hidden="1">
      <c r="A1736" s="1554"/>
      <c r="B1736" s="385"/>
      <c r="C1736" s="638"/>
      <c r="D1736" s="638"/>
      <c r="E1736" s="639"/>
      <c r="F1736" s="232"/>
      <c r="G1736" s="232"/>
      <c r="H1736" s="231">
        <f t="shared" si="52"/>
        <v>0</v>
      </c>
      <c r="I1736" s="231">
        <f t="shared" si="53"/>
        <v>0</v>
      </c>
    </row>
    <row r="1737" spans="1:9" s="7" customFormat="1" hidden="1">
      <c r="A1737" s="1554"/>
      <c r="B1737" s="385"/>
      <c r="C1737" s="638"/>
      <c r="D1737" s="638"/>
      <c r="E1737" s="639"/>
      <c r="F1737" s="232"/>
      <c r="G1737" s="232"/>
      <c r="H1737" s="231">
        <f t="shared" ref="H1737:H1800" si="54">E1737+D1737-C1737</f>
        <v>0</v>
      </c>
      <c r="I1737" s="231">
        <f t="shared" ref="I1737:I1800" si="55">SUM(C1737:E1737)</f>
        <v>0</v>
      </c>
    </row>
    <row r="1738" spans="1:9" s="7" customFormat="1" hidden="1">
      <c r="A1738" s="1554"/>
      <c r="B1738" s="385"/>
      <c r="C1738" s="638"/>
      <c r="D1738" s="638"/>
      <c r="E1738" s="639"/>
      <c r="F1738" s="232"/>
      <c r="G1738" s="232"/>
      <c r="H1738" s="231">
        <f t="shared" si="54"/>
        <v>0</v>
      </c>
      <c r="I1738" s="231">
        <f t="shared" si="55"/>
        <v>0</v>
      </c>
    </row>
    <row r="1739" spans="1:9" s="7" customFormat="1" hidden="1">
      <c r="A1739" s="1554"/>
      <c r="B1739" s="385"/>
      <c r="C1739" s="638"/>
      <c r="D1739" s="638"/>
      <c r="E1739" s="639"/>
      <c r="F1739" s="232"/>
      <c r="G1739" s="232"/>
      <c r="H1739" s="231">
        <f t="shared" si="54"/>
        <v>0</v>
      </c>
      <c r="I1739" s="231">
        <f t="shared" si="55"/>
        <v>0</v>
      </c>
    </row>
    <row r="1740" spans="1:9" s="7" customFormat="1" hidden="1">
      <c r="A1740" s="1554"/>
      <c r="B1740" s="385"/>
      <c r="C1740" s="638"/>
      <c r="D1740" s="638"/>
      <c r="E1740" s="639"/>
      <c r="F1740" s="232"/>
      <c r="G1740" s="232"/>
      <c r="H1740" s="231">
        <f t="shared" si="54"/>
        <v>0</v>
      </c>
      <c r="I1740" s="231">
        <f t="shared" si="55"/>
        <v>0</v>
      </c>
    </row>
    <row r="1741" spans="1:9" s="7" customFormat="1" hidden="1">
      <c r="A1741" s="1554"/>
      <c r="B1741" s="385"/>
      <c r="C1741" s="638"/>
      <c r="D1741" s="638"/>
      <c r="E1741" s="639"/>
      <c r="F1741" s="232"/>
      <c r="G1741" s="232"/>
      <c r="H1741" s="231">
        <f t="shared" si="54"/>
        <v>0</v>
      </c>
      <c r="I1741" s="231">
        <f t="shared" si="55"/>
        <v>0</v>
      </c>
    </row>
    <row r="1742" spans="1:9" s="7" customFormat="1" hidden="1">
      <c r="A1742" s="1554"/>
      <c r="B1742" s="385"/>
      <c r="C1742" s="638"/>
      <c r="D1742" s="638"/>
      <c r="E1742" s="639"/>
      <c r="F1742" s="232"/>
      <c r="G1742" s="232"/>
      <c r="H1742" s="231">
        <f t="shared" si="54"/>
        <v>0</v>
      </c>
      <c r="I1742" s="231">
        <f t="shared" si="55"/>
        <v>0</v>
      </c>
    </row>
    <row r="1743" spans="1:9" s="7" customFormat="1" hidden="1">
      <c r="A1743" s="1554"/>
      <c r="B1743" s="385"/>
      <c r="C1743" s="638"/>
      <c r="D1743" s="638"/>
      <c r="E1743" s="639"/>
      <c r="F1743" s="232"/>
      <c r="G1743" s="232"/>
      <c r="H1743" s="231">
        <f t="shared" si="54"/>
        <v>0</v>
      </c>
      <c r="I1743" s="231">
        <f t="shared" si="55"/>
        <v>0</v>
      </c>
    </row>
    <row r="1744" spans="1:9" s="7" customFormat="1" hidden="1">
      <c r="A1744" s="1554"/>
      <c r="B1744" s="385"/>
      <c r="C1744" s="638"/>
      <c r="D1744" s="638"/>
      <c r="E1744" s="639"/>
      <c r="F1744" s="232"/>
      <c r="G1744" s="232"/>
      <c r="H1744" s="231">
        <f t="shared" si="54"/>
        <v>0</v>
      </c>
      <c r="I1744" s="231">
        <f t="shared" si="55"/>
        <v>0</v>
      </c>
    </row>
    <row r="1745" spans="1:9" s="7" customFormat="1" hidden="1">
      <c r="A1745" s="1554"/>
      <c r="B1745" s="385"/>
      <c r="C1745" s="638"/>
      <c r="D1745" s="638"/>
      <c r="E1745" s="639"/>
      <c r="F1745" s="232"/>
      <c r="G1745" s="232"/>
      <c r="H1745" s="231">
        <f t="shared" si="54"/>
        <v>0</v>
      </c>
      <c r="I1745" s="231">
        <f t="shared" si="55"/>
        <v>0</v>
      </c>
    </row>
    <row r="1746" spans="1:9" s="7" customFormat="1" hidden="1">
      <c r="A1746" s="1554"/>
      <c r="B1746" s="385"/>
      <c r="C1746" s="638"/>
      <c r="D1746" s="638"/>
      <c r="E1746" s="639"/>
      <c r="F1746" s="232"/>
      <c r="G1746" s="232"/>
      <c r="H1746" s="231">
        <f t="shared" si="54"/>
        <v>0</v>
      </c>
      <c r="I1746" s="231">
        <f t="shared" si="55"/>
        <v>0</v>
      </c>
    </row>
    <row r="1747" spans="1:9" s="7" customFormat="1" hidden="1">
      <c r="A1747" s="1554"/>
      <c r="B1747" s="385"/>
      <c r="C1747" s="638"/>
      <c r="D1747" s="638"/>
      <c r="E1747" s="639"/>
      <c r="F1747" s="232"/>
      <c r="G1747" s="232"/>
      <c r="H1747" s="231">
        <f t="shared" si="54"/>
        <v>0</v>
      </c>
      <c r="I1747" s="231">
        <f t="shared" si="55"/>
        <v>0</v>
      </c>
    </row>
    <row r="1748" spans="1:9" s="7" customFormat="1" hidden="1">
      <c r="A1748" s="1554"/>
      <c r="B1748" s="385"/>
      <c r="C1748" s="638"/>
      <c r="D1748" s="638"/>
      <c r="E1748" s="639"/>
      <c r="F1748" s="232"/>
      <c r="G1748" s="232"/>
      <c r="H1748" s="231">
        <f t="shared" si="54"/>
        <v>0</v>
      </c>
      <c r="I1748" s="231">
        <f t="shared" si="55"/>
        <v>0</v>
      </c>
    </row>
    <row r="1749" spans="1:9" s="7" customFormat="1" hidden="1">
      <c r="A1749" s="1554"/>
      <c r="B1749" s="385"/>
      <c r="C1749" s="638"/>
      <c r="D1749" s="638"/>
      <c r="E1749" s="639"/>
      <c r="F1749" s="232"/>
      <c r="G1749" s="232"/>
      <c r="H1749" s="231">
        <f t="shared" si="54"/>
        <v>0</v>
      </c>
      <c r="I1749" s="231">
        <f t="shared" si="55"/>
        <v>0</v>
      </c>
    </row>
    <row r="1750" spans="1:9" s="7" customFormat="1" hidden="1">
      <c r="A1750" s="1554"/>
      <c r="B1750" s="385"/>
      <c r="C1750" s="638"/>
      <c r="D1750" s="638"/>
      <c r="E1750" s="639"/>
      <c r="F1750" s="232"/>
      <c r="G1750" s="232"/>
      <c r="H1750" s="231">
        <f t="shared" si="54"/>
        <v>0</v>
      </c>
      <c r="I1750" s="231">
        <f t="shared" si="55"/>
        <v>0</v>
      </c>
    </row>
    <row r="1751" spans="1:9" s="7" customFormat="1" hidden="1">
      <c r="A1751" s="1554"/>
      <c r="B1751" s="385"/>
      <c r="C1751" s="638"/>
      <c r="D1751" s="638"/>
      <c r="E1751" s="639"/>
      <c r="F1751" s="232"/>
      <c r="G1751" s="232"/>
      <c r="H1751" s="231">
        <f t="shared" si="54"/>
        <v>0</v>
      </c>
      <c r="I1751" s="231">
        <f t="shared" si="55"/>
        <v>0</v>
      </c>
    </row>
    <row r="1752" spans="1:9" s="7" customFormat="1" hidden="1">
      <c r="A1752" s="1554"/>
      <c r="B1752" s="385"/>
      <c r="C1752" s="638"/>
      <c r="D1752" s="638"/>
      <c r="E1752" s="639"/>
      <c r="F1752" s="232"/>
      <c r="G1752" s="232"/>
      <c r="H1752" s="231">
        <f t="shared" si="54"/>
        <v>0</v>
      </c>
      <c r="I1752" s="231">
        <f t="shared" si="55"/>
        <v>0</v>
      </c>
    </row>
    <row r="1753" spans="1:9" s="7" customFormat="1" hidden="1">
      <c r="A1753" s="1554"/>
      <c r="B1753" s="385"/>
      <c r="C1753" s="638"/>
      <c r="D1753" s="638"/>
      <c r="E1753" s="639"/>
      <c r="F1753" s="232"/>
      <c r="G1753" s="232"/>
      <c r="H1753" s="231">
        <f t="shared" si="54"/>
        <v>0</v>
      </c>
      <c r="I1753" s="231">
        <f t="shared" si="55"/>
        <v>0</v>
      </c>
    </row>
    <row r="1754" spans="1:9" s="7" customFormat="1" hidden="1">
      <c r="A1754" s="1554"/>
      <c r="B1754" s="385"/>
      <c r="C1754" s="638"/>
      <c r="D1754" s="638"/>
      <c r="E1754" s="639"/>
      <c r="F1754" s="232"/>
      <c r="G1754" s="232"/>
      <c r="H1754" s="231">
        <f t="shared" si="54"/>
        <v>0</v>
      </c>
      <c r="I1754" s="231">
        <f t="shared" si="55"/>
        <v>0</v>
      </c>
    </row>
    <row r="1755" spans="1:9" s="7" customFormat="1" hidden="1">
      <c r="A1755" s="1554"/>
      <c r="B1755" s="385"/>
      <c r="C1755" s="638"/>
      <c r="D1755" s="638"/>
      <c r="E1755" s="639"/>
      <c r="F1755" s="232"/>
      <c r="G1755" s="232"/>
      <c r="H1755" s="231">
        <f t="shared" si="54"/>
        <v>0</v>
      </c>
      <c r="I1755" s="231">
        <f t="shared" si="55"/>
        <v>0</v>
      </c>
    </row>
    <row r="1756" spans="1:9" s="7" customFormat="1" hidden="1">
      <c r="A1756" s="1554"/>
      <c r="B1756" s="385"/>
      <c r="C1756" s="638"/>
      <c r="D1756" s="638"/>
      <c r="E1756" s="639"/>
      <c r="F1756" s="232"/>
      <c r="G1756" s="232"/>
      <c r="H1756" s="231">
        <f t="shared" si="54"/>
        <v>0</v>
      </c>
      <c r="I1756" s="231">
        <f t="shared" si="55"/>
        <v>0</v>
      </c>
    </row>
    <row r="1757" spans="1:9" s="7" customFormat="1" hidden="1">
      <c r="A1757" s="1554"/>
      <c r="B1757" s="385"/>
      <c r="C1757" s="638"/>
      <c r="D1757" s="638"/>
      <c r="E1757" s="639"/>
      <c r="F1757" s="232"/>
      <c r="G1757" s="232"/>
      <c r="H1757" s="231">
        <f t="shared" si="54"/>
        <v>0</v>
      </c>
      <c r="I1757" s="231">
        <f t="shared" si="55"/>
        <v>0</v>
      </c>
    </row>
    <row r="1758" spans="1:9" s="7" customFormat="1" hidden="1">
      <c r="A1758" s="1554"/>
      <c r="B1758" s="385"/>
      <c r="C1758" s="638"/>
      <c r="D1758" s="638"/>
      <c r="E1758" s="639"/>
      <c r="F1758" s="232"/>
      <c r="G1758" s="232"/>
      <c r="H1758" s="231">
        <f t="shared" si="54"/>
        <v>0</v>
      </c>
      <c r="I1758" s="231">
        <f t="shared" si="55"/>
        <v>0</v>
      </c>
    </row>
    <row r="1759" spans="1:9" s="7" customFormat="1" hidden="1">
      <c r="A1759" s="1554"/>
      <c r="B1759" s="385"/>
      <c r="C1759" s="663"/>
      <c r="D1759" s="663"/>
      <c r="E1759" s="663"/>
      <c r="F1759" s="232"/>
      <c r="G1759" s="232"/>
      <c r="H1759" s="231">
        <f t="shared" si="54"/>
        <v>0</v>
      </c>
      <c r="I1759" s="231">
        <f t="shared" si="55"/>
        <v>0</v>
      </c>
    </row>
    <row r="1760" spans="1:9" s="7" customFormat="1" hidden="1">
      <c r="A1760" s="1554"/>
      <c r="B1760" s="385"/>
      <c r="C1760" s="663"/>
      <c r="D1760" s="663"/>
      <c r="E1760" s="663"/>
      <c r="F1760" s="232"/>
      <c r="G1760" s="232"/>
      <c r="H1760" s="231">
        <f t="shared" si="54"/>
        <v>0</v>
      </c>
      <c r="I1760" s="231">
        <f t="shared" si="55"/>
        <v>0</v>
      </c>
    </row>
    <row r="1761" spans="1:9" s="7" customFormat="1" hidden="1">
      <c r="A1761" s="1554"/>
      <c r="B1761" s="385"/>
      <c r="C1761" s="663"/>
      <c r="D1761" s="663"/>
      <c r="E1761" s="663"/>
      <c r="F1761" s="232"/>
      <c r="G1761" s="232"/>
      <c r="H1761" s="231">
        <f t="shared" si="54"/>
        <v>0</v>
      </c>
      <c r="I1761" s="231">
        <f t="shared" si="55"/>
        <v>0</v>
      </c>
    </row>
    <row r="1762" spans="1:9" s="7" customFormat="1" hidden="1">
      <c r="A1762" s="1554"/>
      <c r="B1762" s="385"/>
      <c r="C1762" s="663"/>
      <c r="D1762" s="663"/>
      <c r="E1762" s="663"/>
      <c r="F1762" s="232"/>
      <c r="G1762" s="232"/>
      <c r="H1762" s="231">
        <f t="shared" si="54"/>
        <v>0</v>
      </c>
      <c r="I1762" s="231">
        <f t="shared" si="55"/>
        <v>0</v>
      </c>
    </row>
    <row r="1763" spans="1:9" s="7" customFormat="1" hidden="1">
      <c r="A1763" s="1554"/>
      <c r="B1763" s="385"/>
      <c r="C1763" s="638"/>
      <c r="D1763" s="638"/>
      <c r="E1763" s="639"/>
      <c r="F1763" s="232"/>
      <c r="G1763" s="232"/>
      <c r="H1763" s="231">
        <f t="shared" si="54"/>
        <v>0</v>
      </c>
      <c r="I1763" s="231">
        <f t="shared" si="55"/>
        <v>0</v>
      </c>
    </row>
    <row r="1764" spans="1:9" s="7" customFormat="1" hidden="1">
      <c r="A1764" s="1554"/>
      <c r="B1764" s="390"/>
      <c r="C1764" s="651"/>
      <c r="D1764" s="692"/>
      <c r="E1764" s="692"/>
      <c r="F1764" s="232"/>
      <c r="G1764" s="232"/>
      <c r="H1764" s="231">
        <f t="shared" si="54"/>
        <v>0</v>
      </c>
      <c r="I1764" s="231">
        <f t="shared" si="55"/>
        <v>0</v>
      </c>
    </row>
    <row r="1765" spans="1:9" s="7" customFormat="1" hidden="1">
      <c r="A1765" s="1554"/>
      <c r="B1765" s="390"/>
      <c r="C1765" s="651"/>
      <c r="D1765" s="692"/>
      <c r="E1765" s="692"/>
      <c r="F1765" s="232"/>
      <c r="G1765" s="232"/>
      <c r="H1765" s="231">
        <f t="shared" si="54"/>
        <v>0</v>
      </c>
      <c r="I1765" s="231">
        <f t="shared" si="55"/>
        <v>0</v>
      </c>
    </row>
    <row r="1766" spans="1:9" s="7" customFormat="1" hidden="1">
      <c r="A1766" s="1554"/>
      <c r="B1766" s="390"/>
      <c r="C1766" s="651"/>
      <c r="D1766" s="692"/>
      <c r="E1766" s="692"/>
      <c r="F1766" s="232"/>
      <c r="G1766" s="232"/>
      <c r="H1766" s="231">
        <f t="shared" si="54"/>
        <v>0</v>
      </c>
      <c r="I1766" s="231">
        <f t="shared" si="55"/>
        <v>0</v>
      </c>
    </row>
    <row r="1767" spans="1:9" s="7" customFormat="1" hidden="1">
      <c r="A1767" s="1554"/>
      <c r="B1767" s="390"/>
      <c r="C1767" s="651"/>
      <c r="D1767" s="692"/>
      <c r="E1767" s="692"/>
      <c r="F1767" s="232"/>
      <c r="G1767" s="232"/>
      <c r="H1767" s="231">
        <f t="shared" si="54"/>
        <v>0</v>
      </c>
      <c r="I1767" s="231">
        <f t="shared" si="55"/>
        <v>0</v>
      </c>
    </row>
    <row r="1768" spans="1:9" s="7" customFormat="1" hidden="1">
      <c r="A1768" s="1554"/>
      <c r="B1768" s="390"/>
      <c r="C1768" s="651"/>
      <c r="D1768" s="692"/>
      <c r="E1768" s="692"/>
      <c r="F1768" s="232"/>
      <c r="G1768" s="232"/>
      <c r="H1768" s="231">
        <f t="shared" si="54"/>
        <v>0</v>
      </c>
      <c r="I1768" s="231">
        <f t="shared" si="55"/>
        <v>0</v>
      </c>
    </row>
    <row r="1769" spans="1:9" s="7" customFormat="1" hidden="1">
      <c r="A1769" s="1554"/>
      <c r="B1769" s="390"/>
      <c r="C1769" s="651"/>
      <c r="D1769" s="692"/>
      <c r="E1769" s="692"/>
      <c r="F1769" s="232"/>
      <c r="G1769" s="232"/>
      <c r="H1769" s="231">
        <f t="shared" si="54"/>
        <v>0</v>
      </c>
      <c r="I1769" s="231">
        <f t="shared" si="55"/>
        <v>0</v>
      </c>
    </row>
    <row r="1770" spans="1:9" s="7" customFormat="1" hidden="1">
      <c r="A1770" s="1554"/>
      <c r="B1770" s="390"/>
      <c r="C1770" s="651"/>
      <c r="D1770" s="692"/>
      <c r="E1770" s="692"/>
      <c r="F1770" s="232"/>
      <c r="G1770" s="232"/>
      <c r="H1770" s="231">
        <f t="shared" si="54"/>
        <v>0</v>
      </c>
      <c r="I1770" s="231">
        <f t="shared" si="55"/>
        <v>0</v>
      </c>
    </row>
    <row r="1771" spans="1:9" s="7" customFormat="1" hidden="1">
      <c r="A1771" s="1554"/>
      <c r="B1771" s="390"/>
      <c r="C1771" s="651"/>
      <c r="D1771" s="692"/>
      <c r="E1771" s="692"/>
      <c r="F1771" s="232"/>
      <c r="G1771" s="232"/>
      <c r="H1771" s="231">
        <f t="shared" si="54"/>
        <v>0</v>
      </c>
      <c r="I1771" s="231">
        <f t="shared" si="55"/>
        <v>0</v>
      </c>
    </row>
    <row r="1772" spans="1:9" s="7" customFormat="1" hidden="1">
      <c r="A1772" s="1554"/>
      <c r="B1772" s="386"/>
      <c r="C1772" s="714"/>
      <c r="D1772" s="714"/>
      <c r="E1772" s="715"/>
      <c r="F1772" s="232"/>
      <c r="G1772" s="232"/>
      <c r="H1772" s="231">
        <f t="shared" si="54"/>
        <v>0</v>
      </c>
      <c r="I1772" s="231">
        <f t="shared" si="55"/>
        <v>0</v>
      </c>
    </row>
    <row r="1773" spans="1:9" s="7" customFormat="1" hidden="1">
      <c r="A1773" s="1554"/>
      <c r="B1773" s="386"/>
      <c r="C1773" s="714"/>
      <c r="D1773" s="714"/>
      <c r="E1773" s="715"/>
      <c r="F1773" s="232"/>
      <c r="G1773" s="232"/>
      <c r="H1773" s="231">
        <f t="shared" si="54"/>
        <v>0</v>
      </c>
      <c r="I1773" s="231">
        <f t="shared" si="55"/>
        <v>0</v>
      </c>
    </row>
    <row r="1774" spans="1:9" s="7" customFormat="1" hidden="1">
      <c r="A1774" s="1554"/>
      <c r="B1774" s="386"/>
      <c r="C1774" s="714"/>
      <c r="D1774" s="714"/>
      <c r="E1774" s="715"/>
      <c r="F1774" s="232"/>
      <c r="G1774" s="232"/>
      <c r="H1774" s="231">
        <f t="shared" si="54"/>
        <v>0</v>
      </c>
      <c r="I1774" s="231">
        <f t="shared" si="55"/>
        <v>0</v>
      </c>
    </row>
    <row r="1775" spans="1:9" s="7" customFormat="1" hidden="1">
      <c r="A1775" s="1554"/>
      <c r="B1775" s="386"/>
      <c r="C1775" s="714"/>
      <c r="D1775" s="714"/>
      <c r="E1775" s="715"/>
      <c r="F1775" s="232"/>
      <c r="G1775" s="232"/>
      <c r="H1775" s="231">
        <f t="shared" si="54"/>
        <v>0</v>
      </c>
      <c r="I1775" s="231">
        <f t="shared" si="55"/>
        <v>0</v>
      </c>
    </row>
    <row r="1776" spans="1:9" s="7" customFormat="1" hidden="1">
      <c r="A1776" s="1554"/>
      <c r="B1776" s="386"/>
      <c r="C1776" s="714"/>
      <c r="D1776" s="714"/>
      <c r="E1776" s="715"/>
      <c r="F1776" s="232"/>
      <c r="G1776" s="232"/>
      <c r="H1776" s="231">
        <f t="shared" si="54"/>
        <v>0</v>
      </c>
      <c r="I1776" s="231">
        <f t="shared" si="55"/>
        <v>0</v>
      </c>
    </row>
    <row r="1777" spans="1:12" s="7" customFormat="1" hidden="1">
      <c r="A1777" s="1554"/>
      <c r="B1777" s="386"/>
      <c r="C1777" s="714"/>
      <c r="D1777" s="714"/>
      <c r="E1777" s="715"/>
      <c r="F1777" s="232"/>
      <c r="G1777" s="232"/>
      <c r="H1777" s="231">
        <f t="shared" si="54"/>
        <v>0</v>
      </c>
      <c r="I1777" s="231">
        <f t="shared" si="55"/>
        <v>0</v>
      </c>
    </row>
    <row r="1778" spans="1:12" s="7" customFormat="1" ht="18" hidden="1" customHeight="1">
      <c r="A1778" s="1554"/>
      <c r="B1778" s="386"/>
      <c r="C1778" s="714"/>
      <c r="D1778" s="714"/>
      <c r="E1778" s="715"/>
      <c r="F1778" s="232"/>
      <c r="G1778" s="232"/>
      <c r="H1778" s="231">
        <f t="shared" si="54"/>
        <v>0</v>
      </c>
      <c r="I1778" s="231">
        <f t="shared" si="55"/>
        <v>0</v>
      </c>
    </row>
    <row r="1779" spans="1:12" s="7" customFormat="1" ht="18" hidden="1" customHeight="1">
      <c r="A1779" s="1554"/>
      <c r="B1779" s="386"/>
      <c r="C1779" s="714"/>
      <c r="D1779" s="714"/>
      <c r="E1779" s="715"/>
      <c r="F1779" s="232"/>
      <c r="G1779" s="232"/>
      <c r="H1779" s="231">
        <f t="shared" si="54"/>
        <v>0</v>
      </c>
      <c r="I1779" s="231">
        <f t="shared" si="55"/>
        <v>0</v>
      </c>
    </row>
    <row r="1780" spans="1:12" s="7" customFormat="1" ht="18" hidden="1" customHeight="1">
      <c r="A1780" s="1554"/>
      <c r="B1780" s="268"/>
      <c r="C1780" s="656"/>
      <c r="D1780" s="687"/>
      <c r="E1780" s="687"/>
      <c r="F1780" s="232"/>
      <c r="G1780" s="232"/>
      <c r="H1780" s="231">
        <f t="shared" si="54"/>
        <v>0</v>
      </c>
      <c r="I1780" s="231">
        <f t="shared" si="55"/>
        <v>0</v>
      </c>
    </row>
    <row r="1781" spans="1:12">
      <c r="A1781" s="1566"/>
      <c r="B1781" s="209" t="s">
        <v>985</v>
      </c>
      <c r="C1781" s="581">
        <f>SUM(C1585:C1780)</f>
        <v>3611000</v>
      </c>
      <c r="D1781" s="581">
        <f>SUM(D1585:D1780)</f>
        <v>3522388</v>
      </c>
      <c r="E1781" s="581">
        <f>SUM(E1585:E1780)</f>
        <v>88612</v>
      </c>
      <c r="F1781" s="263">
        <f>SUM(F1585:F1589)</f>
        <v>0</v>
      </c>
      <c r="G1781" s="236">
        <f>SUM(G1585:G1589)</f>
        <v>0</v>
      </c>
      <c r="H1781" s="1497">
        <f t="shared" si="54"/>
        <v>0</v>
      </c>
      <c r="I1781" s="1497">
        <f t="shared" si="55"/>
        <v>7222000</v>
      </c>
      <c r="J1781" s="1440"/>
      <c r="K1781" s="1490"/>
      <c r="L1781" s="1490"/>
    </row>
    <row r="1782" spans="1:12" ht="75">
      <c r="A1782" s="1566" t="s">
        <v>1159</v>
      </c>
      <c r="B1782" s="181" t="s">
        <v>772</v>
      </c>
      <c r="C1782" s="589">
        <v>1970100</v>
      </c>
      <c r="D1782" s="589">
        <v>1970100</v>
      </c>
      <c r="E1782" s="510"/>
      <c r="F1782" s="237"/>
      <c r="G1782" s="237"/>
      <c r="H1782" s="1497">
        <f t="shared" si="54"/>
        <v>0</v>
      </c>
      <c r="I1782" s="1497">
        <f t="shared" si="55"/>
        <v>3940200</v>
      </c>
      <c r="J1782" s="1440"/>
      <c r="K1782" s="1490"/>
      <c r="L1782" s="1490"/>
    </row>
    <row r="1783" spans="1:12" ht="37.5">
      <c r="A1783" s="1566"/>
      <c r="B1783" s="369" t="s">
        <v>1273</v>
      </c>
      <c r="C1783" s="654">
        <v>421840</v>
      </c>
      <c r="D1783" s="654">
        <v>421840</v>
      </c>
      <c r="E1783" s="256"/>
      <c r="F1783" s="237"/>
      <c r="G1783" s="237"/>
      <c r="H1783" s="1497">
        <f t="shared" si="54"/>
        <v>0</v>
      </c>
      <c r="I1783" s="1497">
        <f t="shared" si="55"/>
        <v>843680</v>
      </c>
      <c r="J1783" s="1440"/>
      <c r="K1783" s="1490"/>
      <c r="L1783" s="1490"/>
    </row>
    <row r="1784" spans="1:12" s="93" customFormat="1" hidden="1">
      <c r="A1784" s="1566"/>
      <c r="B1784" s="107"/>
      <c r="C1784" s="654"/>
      <c r="D1784" s="654"/>
      <c r="E1784" s="256"/>
      <c r="F1784" s="239"/>
      <c r="G1784" s="239"/>
      <c r="H1784" s="231">
        <f t="shared" si="54"/>
        <v>0</v>
      </c>
      <c r="I1784" s="231">
        <f t="shared" si="55"/>
        <v>0</v>
      </c>
    </row>
    <row r="1785" spans="1:12" s="93" customFormat="1" hidden="1">
      <c r="A1785" s="1566"/>
      <c r="B1785" s="107"/>
      <c r="C1785" s="654"/>
      <c r="D1785" s="654"/>
      <c r="E1785" s="256"/>
      <c r="F1785" s="239"/>
      <c r="G1785" s="239"/>
      <c r="H1785" s="231">
        <f t="shared" si="54"/>
        <v>0</v>
      </c>
      <c r="I1785" s="231">
        <f t="shared" si="55"/>
        <v>0</v>
      </c>
    </row>
    <row r="1786" spans="1:12" s="93" customFormat="1" hidden="1">
      <c r="A1786" s="1566"/>
      <c r="B1786" s="107"/>
      <c r="C1786" s="654"/>
      <c r="D1786" s="654"/>
      <c r="E1786" s="256"/>
      <c r="F1786" s="239"/>
      <c r="G1786" s="239"/>
      <c r="H1786" s="231">
        <f t="shared" si="54"/>
        <v>0</v>
      </c>
      <c r="I1786" s="231">
        <f t="shared" si="55"/>
        <v>0</v>
      </c>
    </row>
    <row r="1787" spans="1:12" s="93" customFormat="1" hidden="1">
      <c r="A1787" s="1566"/>
      <c r="B1787" s="107"/>
      <c r="C1787" s="654"/>
      <c r="D1787" s="654"/>
      <c r="E1787" s="256"/>
      <c r="F1787" s="239"/>
      <c r="G1787" s="239"/>
      <c r="H1787" s="231">
        <f t="shared" si="54"/>
        <v>0</v>
      </c>
      <c r="I1787" s="231">
        <f t="shared" si="55"/>
        <v>0</v>
      </c>
    </row>
    <row r="1788" spans="1:12" s="93" customFormat="1" hidden="1">
      <c r="A1788" s="1566"/>
      <c r="B1788" s="107"/>
      <c r="C1788" s="654"/>
      <c r="D1788" s="654"/>
      <c r="E1788" s="256"/>
      <c r="F1788" s="239"/>
      <c r="G1788" s="239"/>
      <c r="H1788" s="231">
        <f t="shared" si="54"/>
        <v>0</v>
      </c>
      <c r="I1788" s="231">
        <f t="shared" si="55"/>
        <v>0</v>
      </c>
    </row>
    <row r="1789" spans="1:12" s="93" customFormat="1" hidden="1">
      <c r="A1789" s="1566"/>
      <c r="B1789" s="107"/>
      <c r="C1789" s="654"/>
      <c r="D1789" s="654"/>
      <c r="E1789" s="256"/>
      <c r="F1789" s="239"/>
      <c r="G1789" s="239"/>
      <c r="H1789" s="231">
        <f t="shared" si="54"/>
        <v>0</v>
      </c>
      <c r="I1789" s="231">
        <f t="shared" si="55"/>
        <v>0</v>
      </c>
    </row>
    <row r="1790" spans="1:12" s="93" customFormat="1" hidden="1">
      <c r="A1790" s="1566"/>
      <c r="B1790" s="107"/>
      <c r="C1790" s="654"/>
      <c r="D1790" s="654"/>
      <c r="E1790" s="256"/>
      <c r="F1790" s="239"/>
      <c r="G1790" s="239"/>
      <c r="H1790" s="231">
        <f t="shared" si="54"/>
        <v>0</v>
      </c>
      <c r="I1790" s="231">
        <f t="shared" si="55"/>
        <v>0</v>
      </c>
    </row>
    <row r="1791" spans="1:12" s="458" customFormat="1" hidden="1">
      <c r="A1791" s="1566"/>
      <c r="B1791" s="353"/>
      <c r="C1791" s="712"/>
      <c r="D1791" s="712"/>
      <c r="E1791" s="713"/>
      <c r="F1791" s="354"/>
      <c r="G1791" s="354"/>
      <c r="H1791" s="231">
        <f t="shared" si="54"/>
        <v>0</v>
      </c>
      <c r="I1791" s="231">
        <f t="shared" si="55"/>
        <v>0</v>
      </c>
    </row>
    <row r="1792" spans="1:12" s="93" customFormat="1" hidden="1">
      <c r="A1792" s="1566"/>
      <c r="B1792" s="107"/>
      <c r="C1792" s="654"/>
      <c r="D1792" s="654"/>
      <c r="E1792" s="256"/>
      <c r="F1792" s="239"/>
      <c r="G1792" s="239"/>
      <c r="H1792" s="231">
        <f t="shared" si="54"/>
        <v>0</v>
      </c>
      <c r="I1792" s="231">
        <f t="shared" si="55"/>
        <v>0</v>
      </c>
    </row>
    <row r="1793" spans="1:9" s="93" customFormat="1" hidden="1">
      <c r="A1793" s="1566"/>
      <c r="B1793" s="107"/>
      <c r="C1793" s="654"/>
      <c r="D1793" s="654"/>
      <c r="E1793" s="256"/>
      <c r="F1793" s="239"/>
      <c r="G1793" s="239"/>
      <c r="H1793" s="231">
        <f t="shared" si="54"/>
        <v>0</v>
      </c>
      <c r="I1793" s="231">
        <f t="shared" si="55"/>
        <v>0</v>
      </c>
    </row>
    <row r="1794" spans="1:9" s="93" customFormat="1" hidden="1">
      <c r="A1794" s="1566"/>
      <c r="B1794" s="371"/>
      <c r="C1794" s="664"/>
      <c r="D1794" s="664"/>
      <c r="E1794" s="665"/>
      <c r="F1794" s="239"/>
      <c r="G1794" s="239"/>
      <c r="H1794" s="231">
        <f t="shared" si="54"/>
        <v>0</v>
      </c>
      <c r="I1794" s="231">
        <f t="shared" si="55"/>
        <v>0</v>
      </c>
    </row>
    <row r="1795" spans="1:9" s="93" customFormat="1" hidden="1">
      <c r="A1795" s="1566"/>
      <c r="B1795" s="107"/>
      <c r="C1795" s="256"/>
      <c r="D1795" s="256"/>
      <c r="E1795" s="256"/>
      <c r="F1795" s="239"/>
      <c r="G1795" s="239"/>
      <c r="H1795" s="231">
        <f t="shared" si="54"/>
        <v>0</v>
      </c>
      <c r="I1795" s="231">
        <f t="shared" si="55"/>
        <v>0</v>
      </c>
    </row>
    <row r="1796" spans="1:9" s="93" customFormat="1" hidden="1">
      <c r="A1796" s="1566"/>
      <c r="B1796" s="107"/>
      <c r="C1796" s="256"/>
      <c r="D1796" s="256"/>
      <c r="E1796" s="256"/>
      <c r="F1796" s="239"/>
      <c r="G1796" s="239"/>
      <c r="H1796" s="231">
        <f t="shared" si="54"/>
        <v>0</v>
      </c>
      <c r="I1796" s="231">
        <f t="shared" si="55"/>
        <v>0</v>
      </c>
    </row>
    <row r="1797" spans="1:9" s="93" customFormat="1" hidden="1">
      <c r="A1797" s="1566"/>
      <c r="B1797" s="107"/>
      <c r="C1797" s="256"/>
      <c r="D1797" s="256"/>
      <c r="E1797" s="256"/>
      <c r="F1797" s="239"/>
      <c r="G1797" s="239"/>
      <c r="H1797" s="231">
        <f t="shared" si="54"/>
        <v>0</v>
      </c>
      <c r="I1797" s="231">
        <f t="shared" si="55"/>
        <v>0</v>
      </c>
    </row>
    <row r="1798" spans="1:9" s="93" customFormat="1" hidden="1">
      <c r="A1798" s="1566"/>
      <c r="B1798" s="116"/>
      <c r="C1798" s="256"/>
      <c r="D1798" s="680"/>
      <c r="E1798" s="680"/>
      <c r="F1798" s="239"/>
      <c r="G1798" s="239"/>
      <c r="H1798" s="231">
        <f t="shared" si="54"/>
        <v>0</v>
      </c>
      <c r="I1798" s="231">
        <f t="shared" si="55"/>
        <v>0</v>
      </c>
    </row>
    <row r="1799" spans="1:9" s="93" customFormat="1" hidden="1">
      <c r="A1799" s="1566"/>
      <c r="B1799" s="353"/>
      <c r="C1799" s="712"/>
      <c r="D1799" s="712"/>
      <c r="E1799" s="713"/>
      <c r="F1799" s="239"/>
      <c r="G1799" s="239"/>
      <c r="H1799" s="231">
        <f t="shared" si="54"/>
        <v>0</v>
      </c>
      <c r="I1799" s="231">
        <f t="shared" si="55"/>
        <v>0</v>
      </c>
    </row>
    <row r="1800" spans="1:9" s="93" customFormat="1" hidden="1">
      <c r="A1800" s="1566"/>
      <c r="B1800" s="371"/>
      <c r="C1800" s="664"/>
      <c r="D1800" s="664"/>
      <c r="E1800" s="665"/>
      <c r="F1800" s="239"/>
      <c r="G1800" s="239"/>
      <c r="H1800" s="231">
        <f t="shared" si="54"/>
        <v>0</v>
      </c>
      <c r="I1800" s="231">
        <f t="shared" si="55"/>
        <v>0</v>
      </c>
    </row>
    <row r="1801" spans="1:9" s="85" customFormat="1" hidden="1">
      <c r="A1801" s="1558"/>
      <c r="B1801" s="343"/>
      <c r="C1801" s="666"/>
      <c r="D1801" s="666"/>
      <c r="E1801" s="667"/>
      <c r="F1801" s="239"/>
      <c r="G1801" s="239"/>
      <c r="H1801" s="231">
        <f t="shared" ref="H1801:H1864" si="56">E1801+D1801-C1801</f>
        <v>0</v>
      </c>
      <c r="I1801" s="231">
        <f t="shared" ref="I1801:I1864" si="57">SUM(C1801:E1801)</f>
        <v>0</v>
      </c>
    </row>
    <row r="1802" spans="1:9" s="85" customFormat="1" hidden="1">
      <c r="A1802" s="1558"/>
      <c r="B1802" s="343"/>
      <c r="C1802" s="666"/>
      <c r="D1802" s="666"/>
      <c r="E1802" s="667"/>
      <c r="F1802" s="239"/>
      <c r="G1802" s="239"/>
      <c r="H1802" s="231">
        <f t="shared" si="56"/>
        <v>0</v>
      </c>
      <c r="I1802" s="231">
        <f t="shared" si="57"/>
        <v>0</v>
      </c>
    </row>
    <row r="1803" spans="1:9" s="85" customFormat="1" hidden="1">
      <c r="A1803" s="1558"/>
      <c r="B1803" s="119"/>
      <c r="C1803" s="716"/>
      <c r="D1803" s="669"/>
      <c r="E1803" s="716"/>
      <c r="F1803" s="239"/>
      <c r="G1803" s="239"/>
      <c r="H1803" s="231">
        <f t="shared" si="56"/>
        <v>0</v>
      </c>
      <c r="I1803" s="231">
        <f t="shared" si="57"/>
        <v>0</v>
      </c>
    </row>
    <row r="1804" spans="1:9" s="85" customFormat="1" hidden="1">
      <c r="A1804" s="1558"/>
      <c r="B1804" s="371"/>
      <c r="C1804" s="664"/>
      <c r="D1804" s="664"/>
      <c r="E1804" s="665"/>
      <c r="F1804" s="239"/>
      <c r="G1804" s="239"/>
      <c r="H1804" s="231">
        <f t="shared" si="56"/>
        <v>0</v>
      </c>
      <c r="I1804" s="231">
        <f t="shared" si="57"/>
        <v>0</v>
      </c>
    </row>
    <row r="1805" spans="1:9" s="85" customFormat="1" hidden="1">
      <c r="A1805" s="1558"/>
      <c r="B1805" s="371"/>
      <c r="C1805" s="664"/>
      <c r="D1805" s="664"/>
      <c r="E1805" s="665"/>
      <c r="F1805" s="239"/>
      <c r="G1805" s="239"/>
      <c r="H1805" s="231">
        <f t="shared" si="56"/>
        <v>0</v>
      </c>
      <c r="I1805" s="231">
        <f t="shared" si="57"/>
        <v>0</v>
      </c>
    </row>
    <row r="1806" spans="1:9" s="85" customFormat="1" hidden="1">
      <c r="A1806" s="1558"/>
      <c r="B1806" s="359"/>
      <c r="C1806" s="660"/>
      <c r="D1806" s="660"/>
      <c r="E1806" s="660"/>
      <c r="F1806" s="239"/>
      <c r="G1806" s="239"/>
      <c r="H1806" s="231">
        <f t="shared" si="56"/>
        <v>0</v>
      </c>
      <c r="I1806" s="231">
        <f t="shared" si="57"/>
        <v>0</v>
      </c>
    </row>
    <row r="1807" spans="1:9" s="85" customFormat="1" hidden="1">
      <c r="A1807" s="1558"/>
      <c r="B1807" s="359"/>
      <c r="C1807" s="694"/>
      <c r="D1807" s="660"/>
      <c r="E1807" s="717"/>
      <c r="F1807" s="239"/>
      <c r="G1807" s="239"/>
      <c r="H1807" s="231">
        <f t="shared" si="56"/>
        <v>0</v>
      </c>
      <c r="I1807" s="231">
        <f t="shared" si="57"/>
        <v>0</v>
      </c>
    </row>
    <row r="1808" spans="1:9" s="85" customFormat="1" hidden="1">
      <c r="A1808" s="1558"/>
      <c r="B1808" s="399"/>
      <c r="C1808" s="663"/>
      <c r="D1808" s="663"/>
      <c r="E1808" s="663"/>
      <c r="F1808" s="239"/>
      <c r="G1808" s="239"/>
      <c r="H1808" s="231">
        <f t="shared" si="56"/>
        <v>0</v>
      </c>
      <c r="I1808" s="231">
        <f t="shared" si="57"/>
        <v>0</v>
      </c>
    </row>
    <row r="1809" spans="1:9" s="85" customFormat="1" hidden="1">
      <c r="A1809" s="1558"/>
      <c r="B1809" s="390"/>
      <c r="C1809" s="651"/>
      <c r="D1809" s="692"/>
      <c r="E1809" s="692"/>
      <c r="F1809" s="239"/>
      <c r="G1809" s="239"/>
      <c r="H1809" s="231">
        <f t="shared" si="56"/>
        <v>0</v>
      </c>
      <c r="I1809" s="231">
        <f t="shared" si="57"/>
        <v>0</v>
      </c>
    </row>
    <row r="1810" spans="1:9" s="85" customFormat="1" hidden="1">
      <c r="A1810" s="1558"/>
      <c r="B1810" s="392"/>
      <c r="C1810" s="718"/>
      <c r="D1810" s="718"/>
      <c r="E1810" s="718"/>
      <c r="F1810" s="239"/>
      <c r="G1810" s="239"/>
      <c r="H1810" s="231">
        <f t="shared" si="56"/>
        <v>0</v>
      </c>
      <c r="I1810" s="231">
        <f t="shared" si="57"/>
        <v>0</v>
      </c>
    </row>
    <row r="1811" spans="1:9" s="85" customFormat="1" hidden="1">
      <c r="A1811" s="1558"/>
      <c r="B1811" s="392"/>
      <c r="C1811" s="718"/>
      <c r="D1811" s="718"/>
      <c r="E1811" s="718"/>
      <c r="F1811" s="239"/>
      <c r="G1811" s="239"/>
      <c r="H1811" s="231">
        <f t="shared" si="56"/>
        <v>0</v>
      </c>
      <c r="I1811" s="231">
        <f t="shared" si="57"/>
        <v>0</v>
      </c>
    </row>
    <row r="1812" spans="1:9" s="85" customFormat="1" hidden="1">
      <c r="A1812" s="1558"/>
      <c r="B1812" s="392"/>
      <c r="C1812" s="718"/>
      <c r="D1812" s="718"/>
      <c r="E1812" s="718"/>
      <c r="F1812" s="239"/>
      <c r="G1812" s="239"/>
      <c r="H1812" s="231">
        <f t="shared" si="56"/>
        <v>0</v>
      </c>
      <c r="I1812" s="231">
        <f t="shared" si="57"/>
        <v>0</v>
      </c>
    </row>
    <row r="1813" spans="1:9" s="85" customFormat="1" hidden="1">
      <c r="A1813" s="1558"/>
      <c r="B1813" s="392"/>
      <c r="C1813" s="718"/>
      <c r="D1813" s="718"/>
      <c r="E1813" s="718"/>
      <c r="F1813" s="239"/>
      <c r="G1813" s="239"/>
      <c r="H1813" s="231">
        <f t="shared" si="56"/>
        <v>0</v>
      </c>
      <c r="I1813" s="231">
        <f t="shared" si="57"/>
        <v>0</v>
      </c>
    </row>
    <row r="1814" spans="1:9" s="85" customFormat="1" hidden="1">
      <c r="A1814" s="1558"/>
      <c r="B1814" s="392"/>
      <c r="C1814" s="718"/>
      <c r="D1814" s="718"/>
      <c r="E1814" s="718"/>
      <c r="F1814" s="239"/>
      <c r="G1814" s="239"/>
      <c r="H1814" s="231">
        <f t="shared" si="56"/>
        <v>0</v>
      </c>
      <c r="I1814" s="231">
        <f t="shared" si="57"/>
        <v>0</v>
      </c>
    </row>
    <row r="1815" spans="1:9" s="85" customFormat="1" hidden="1">
      <c r="A1815" s="1558"/>
      <c r="B1815" s="392"/>
      <c r="C1815" s="718"/>
      <c r="D1815" s="718"/>
      <c r="E1815" s="718"/>
      <c r="F1815" s="239"/>
      <c r="G1815" s="239"/>
      <c r="H1815" s="231">
        <f t="shared" si="56"/>
        <v>0</v>
      </c>
      <c r="I1815" s="231">
        <f t="shared" si="57"/>
        <v>0</v>
      </c>
    </row>
    <row r="1816" spans="1:9" s="85" customFormat="1" hidden="1">
      <c r="A1816" s="1558"/>
      <c r="B1816" s="392"/>
      <c r="C1816" s="718"/>
      <c r="D1816" s="718"/>
      <c r="E1816" s="718"/>
      <c r="F1816" s="239"/>
      <c r="G1816" s="239"/>
      <c r="H1816" s="231">
        <f t="shared" si="56"/>
        <v>0</v>
      </c>
      <c r="I1816" s="231">
        <f t="shared" si="57"/>
        <v>0</v>
      </c>
    </row>
    <row r="1817" spans="1:9" s="85" customFormat="1" hidden="1">
      <c r="A1817" s="1558"/>
      <c r="B1817" s="392"/>
      <c r="C1817" s="718"/>
      <c r="D1817" s="718"/>
      <c r="E1817" s="718"/>
      <c r="F1817" s="239"/>
      <c r="G1817" s="239"/>
      <c r="H1817" s="231">
        <f t="shared" si="56"/>
        <v>0</v>
      </c>
      <c r="I1817" s="231">
        <f t="shared" si="57"/>
        <v>0</v>
      </c>
    </row>
    <row r="1818" spans="1:9" s="85" customFormat="1" hidden="1">
      <c r="A1818" s="1558"/>
      <c r="B1818" s="392"/>
      <c r="C1818" s="718"/>
      <c r="D1818" s="718"/>
      <c r="E1818" s="718"/>
      <c r="F1818" s="239"/>
      <c r="G1818" s="239"/>
      <c r="H1818" s="231">
        <f t="shared" si="56"/>
        <v>0</v>
      </c>
      <c r="I1818" s="231">
        <f t="shared" si="57"/>
        <v>0</v>
      </c>
    </row>
    <row r="1819" spans="1:9" s="85" customFormat="1" hidden="1">
      <c r="A1819" s="1558"/>
      <c r="B1819" s="392"/>
      <c r="C1819" s="718"/>
      <c r="D1819" s="718"/>
      <c r="E1819" s="718"/>
      <c r="F1819" s="239"/>
      <c r="G1819" s="239"/>
      <c r="H1819" s="231">
        <f t="shared" si="56"/>
        <v>0</v>
      </c>
      <c r="I1819" s="231">
        <f t="shared" si="57"/>
        <v>0</v>
      </c>
    </row>
    <row r="1820" spans="1:9" s="85" customFormat="1" hidden="1">
      <c r="A1820" s="1558"/>
      <c r="B1820" s="107"/>
      <c r="C1820" s="654"/>
      <c r="D1820" s="654"/>
      <c r="E1820" s="256"/>
      <c r="F1820" s="239"/>
      <c r="G1820" s="239"/>
      <c r="H1820" s="231">
        <f t="shared" si="56"/>
        <v>0</v>
      </c>
      <c r="I1820" s="231">
        <f t="shared" si="57"/>
        <v>0</v>
      </c>
    </row>
    <row r="1821" spans="1:9" s="85" customFormat="1" hidden="1">
      <c r="A1821" s="1558"/>
      <c r="B1821" s="107"/>
      <c r="C1821" s="654"/>
      <c r="D1821" s="654"/>
      <c r="E1821" s="256"/>
      <c r="F1821" s="239"/>
      <c r="G1821" s="239"/>
      <c r="H1821" s="231">
        <f t="shared" si="56"/>
        <v>0</v>
      </c>
      <c r="I1821" s="231">
        <f t="shared" si="57"/>
        <v>0</v>
      </c>
    </row>
    <row r="1822" spans="1:9" s="85" customFormat="1" hidden="1">
      <c r="A1822" s="1558"/>
      <c r="B1822" s="107"/>
      <c r="C1822" s="654"/>
      <c r="D1822" s="654"/>
      <c r="E1822" s="256"/>
      <c r="F1822" s="239"/>
      <c r="G1822" s="239"/>
      <c r="H1822" s="231">
        <f t="shared" si="56"/>
        <v>0</v>
      </c>
      <c r="I1822" s="231">
        <f t="shared" si="57"/>
        <v>0</v>
      </c>
    </row>
    <row r="1823" spans="1:9" s="85" customFormat="1" hidden="1">
      <c r="A1823" s="1558"/>
      <c r="B1823" s="107"/>
      <c r="C1823" s="654"/>
      <c r="D1823" s="654"/>
      <c r="E1823" s="256"/>
      <c r="F1823" s="239"/>
      <c r="G1823" s="239"/>
      <c r="H1823" s="231">
        <f t="shared" si="56"/>
        <v>0</v>
      </c>
      <c r="I1823" s="231">
        <f t="shared" si="57"/>
        <v>0</v>
      </c>
    </row>
    <row r="1824" spans="1:9" s="85" customFormat="1" hidden="1">
      <c r="A1824" s="1558"/>
      <c r="B1824" s="107"/>
      <c r="C1824" s="654"/>
      <c r="D1824" s="654"/>
      <c r="E1824" s="256"/>
      <c r="F1824" s="239"/>
      <c r="G1824" s="239"/>
      <c r="H1824" s="231">
        <f t="shared" si="56"/>
        <v>0</v>
      </c>
      <c r="I1824" s="231">
        <f t="shared" si="57"/>
        <v>0</v>
      </c>
    </row>
    <row r="1825" spans="1:9" s="85" customFormat="1" hidden="1">
      <c r="A1825" s="1558"/>
      <c r="B1825" s="107"/>
      <c r="C1825" s="654"/>
      <c r="D1825" s="654"/>
      <c r="E1825" s="256"/>
      <c r="F1825" s="239"/>
      <c r="G1825" s="239"/>
      <c r="H1825" s="231">
        <f t="shared" si="56"/>
        <v>0</v>
      </c>
      <c r="I1825" s="231">
        <f t="shared" si="57"/>
        <v>0</v>
      </c>
    </row>
    <row r="1826" spans="1:9" s="85" customFormat="1" hidden="1">
      <c r="A1826" s="1558"/>
      <c r="B1826" s="107"/>
      <c r="C1826" s="654"/>
      <c r="D1826" s="654"/>
      <c r="E1826" s="256"/>
      <c r="F1826" s="239"/>
      <c r="G1826" s="239"/>
      <c r="H1826" s="231">
        <f t="shared" si="56"/>
        <v>0</v>
      </c>
      <c r="I1826" s="231">
        <f t="shared" si="57"/>
        <v>0</v>
      </c>
    </row>
    <row r="1827" spans="1:9" s="85" customFormat="1" hidden="1">
      <c r="A1827" s="1660"/>
      <c r="B1827" s="116"/>
      <c r="C1827" s="679"/>
      <c r="D1827" s="679"/>
      <c r="E1827" s="680"/>
      <c r="F1827" s="239"/>
      <c r="G1827" s="239"/>
      <c r="H1827" s="231">
        <f t="shared" si="56"/>
        <v>0</v>
      </c>
      <c r="I1827" s="231">
        <f t="shared" si="57"/>
        <v>0</v>
      </c>
    </row>
    <row r="1828" spans="1:9" s="85" customFormat="1" hidden="1">
      <c r="A1828" s="1558"/>
      <c r="B1828" s="107"/>
      <c r="C1828" s="654"/>
      <c r="D1828" s="654"/>
      <c r="E1828" s="256"/>
      <c r="F1828" s="239"/>
      <c r="G1828" s="239"/>
      <c r="H1828" s="231">
        <f t="shared" si="56"/>
        <v>0</v>
      </c>
      <c r="I1828" s="231">
        <f t="shared" si="57"/>
        <v>0</v>
      </c>
    </row>
    <row r="1829" spans="1:9" s="85" customFormat="1" hidden="1">
      <c r="A1829" s="1660"/>
      <c r="B1829" s="116"/>
      <c r="C1829" s="679"/>
      <c r="D1829" s="679"/>
      <c r="E1829" s="680"/>
      <c r="F1829" s="239"/>
      <c r="G1829" s="239"/>
      <c r="H1829" s="231">
        <f t="shared" si="56"/>
        <v>0</v>
      </c>
      <c r="I1829" s="231">
        <f t="shared" si="57"/>
        <v>0</v>
      </c>
    </row>
    <row r="1830" spans="1:9" s="85" customFormat="1" hidden="1">
      <c r="A1830" s="1558"/>
      <c r="B1830" s="107"/>
      <c r="C1830" s="654"/>
      <c r="D1830" s="654"/>
      <c r="E1830" s="256"/>
      <c r="F1830" s="239"/>
      <c r="G1830" s="239"/>
      <c r="H1830" s="231">
        <f t="shared" si="56"/>
        <v>0</v>
      </c>
      <c r="I1830" s="231">
        <f t="shared" si="57"/>
        <v>0</v>
      </c>
    </row>
    <row r="1831" spans="1:9" s="85" customFormat="1" hidden="1">
      <c r="A1831" s="1558"/>
      <c r="B1831" s="107"/>
      <c r="C1831" s="654"/>
      <c r="D1831" s="654"/>
      <c r="E1831" s="256"/>
      <c r="F1831" s="239"/>
      <c r="G1831" s="239"/>
      <c r="H1831" s="231">
        <f t="shared" si="56"/>
        <v>0</v>
      </c>
      <c r="I1831" s="231">
        <f t="shared" si="57"/>
        <v>0</v>
      </c>
    </row>
    <row r="1832" spans="1:9" s="85" customFormat="1" hidden="1">
      <c r="A1832" s="1558"/>
      <c r="B1832" s="107"/>
      <c r="C1832" s="654"/>
      <c r="D1832" s="654"/>
      <c r="E1832" s="256"/>
      <c r="F1832" s="239"/>
      <c r="G1832" s="239"/>
      <c r="H1832" s="231">
        <f t="shared" si="56"/>
        <v>0</v>
      </c>
      <c r="I1832" s="231">
        <f t="shared" si="57"/>
        <v>0</v>
      </c>
    </row>
    <row r="1833" spans="1:9" s="85" customFormat="1" hidden="1">
      <c r="A1833" s="1558"/>
      <c r="B1833" s="225"/>
      <c r="C1833" s="654"/>
      <c r="D1833" s="654"/>
      <c r="E1833" s="256"/>
      <c r="F1833" s="239"/>
      <c r="G1833" s="239"/>
      <c r="H1833" s="231">
        <f t="shared" si="56"/>
        <v>0</v>
      </c>
      <c r="I1833" s="231">
        <f t="shared" si="57"/>
        <v>0</v>
      </c>
    </row>
    <row r="1834" spans="1:9" s="85" customFormat="1" hidden="1">
      <c r="A1834" s="1558"/>
      <c r="B1834" s="107"/>
      <c r="C1834" s="654"/>
      <c r="D1834" s="654"/>
      <c r="E1834" s="256"/>
      <c r="F1834" s="239"/>
      <c r="G1834" s="239"/>
      <c r="H1834" s="231">
        <f t="shared" si="56"/>
        <v>0</v>
      </c>
      <c r="I1834" s="231">
        <f t="shared" si="57"/>
        <v>0</v>
      </c>
    </row>
    <row r="1835" spans="1:9" s="85" customFormat="1" hidden="1">
      <c r="A1835" s="1558"/>
      <c r="B1835" s="107"/>
      <c r="C1835" s="654"/>
      <c r="D1835" s="654"/>
      <c r="E1835" s="256"/>
      <c r="F1835" s="239"/>
      <c r="G1835" s="239"/>
      <c r="H1835" s="231">
        <f t="shared" si="56"/>
        <v>0</v>
      </c>
      <c r="I1835" s="231">
        <f t="shared" si="57"/>
        <v>0</v>
      </c>
    </row>
    <row r="1836" spans="1:9" s="85" customFormat="1" hidden="1">
      <c r="A1836" s="1558"/>
      <c r="B1836" s="107"/>
      <c r="C1836" s="654"/>
      <c r="D1836" s="654"/>
      <c r="E1836" s="256"/>
      <c r="F1836" s="239"/>
      <c r="G1836" s="239"/>
      <c r="H1836" s="231">
        <f t="shared" si="56"/>
        <v>0</v>
      </c>
      <c r="I1836" s="231">
        <f t="shared" si="57"/>
        <v>0</v>
      </c>
    </row>
    <row r="1837" spans="1:9" s="85" customFormat="1" hidden="1">
      <c r="A1837" s="1558"/>
      <c r="B1837" s="107"/>
      <c r="C1837" s="654"/>
      <c r="D1837" s="654"/>
      <c r="E1837" s="256"/>
      <c r="F1837" s="239"/>
      <c r="G1837" s="239"/>
      <c r="H1837" s="231">
        <f t="shared" si="56"/>
        <v>0</v>
      </c>
      <c r="I1837" s="231">
        <f t="shared" si="57"/>
        <v>0</v>
      </c>
    </row>
    <row r="1838" spans="1:9" s="85" customFormat="1" hidden="1">
      <c r="A1838" s="1558"/>
      <c r="B1838" s="107"/>
      <c r="C1838" s="654"/>
      <c r="D1838" s="654"/>
      <c r="E1838" s="256"/>
      <c r="F1838" s="239"/>
      <c r="G1838" s="239"/>
      <c r="H1838" s="231">
        <f t="shared" si="56"/>
        <v>0</v>
      </c>
      <c r="I1838" s="231">
        <f t="shared" si="57"/>
        <v>0</v>
      </c>
    </row>
    <row r="1839" spans="1:9" s="85" customFormat="1" hidden="1">
      <c r="A1839" s="1558"/>
      <c r="B1839" s="107"/>
      <c r="C1839" s="654"/>
      <c r="D1839" s="654"/>
      <c r="E1839" s="256"/>
      <c r="F1839" s="239"/>
      <c r="G1839" s="239"/>
      <c r="H1839" s="231">
        <f t="shared" si="56"/>
        <v>0</v>
      </c>
      <c r="I1839" s="231">
        <f t="shared" si="57"/>
        <v>0</v>
      </c>
    </row>
    <row r="1840" spans="1:9" s="85" customFormat="1" hidden="1">
      <c r="A1840" s="1558"/>
      <c r="B1840" s="107"/>
      <c r="C1840" s="256"/>
      <c r="D1840" s="256"/>
      <c r="E1840" s="256"/>
      <c r="F1840" s="239"/>
      <c r="G1840" s="239"/>
      <c r="H1840" s="231">
        <f t="shared" si="56"/>
        <v>0</v>
      </c>
      <c r="I1840" s="231">
        <f t="shared" si="57"/>
        <v>0</v>
      </c>
    </row>
    <row r="1841" spans="1:9" s="85" customFormat="1" hidden="1">
      <c r="A1841" s="1558"/>
      <c r="B1841" s="107"/>
      <c r="C1841" s="256"/>
      <c r="D1841" s="256"/>
      <c r="E1841" s="256"/>
      <c r="F1841" s="239"/>
      <c r="G1841" s="239"/>
      <c r="H1841" s="231">
        <f t="shared" si="56"/>
        <v>0</v>
      </c>
      <c r="I1841" s="231">
        <f t="shared" si="57"/>
        <v>0</v>
      </c>
    </row>
    <row r="1842" spans="1:9" s="85" customFormat="1" hidden="1">
      <c r="A1842" s="1558"/>
      <c r="B1842" s="107"/>
      <c r="C1842" s="256"/>
      <c r="D1842" s="256"/>
      <c r="E1842" s="256"/>
      <c r="F1842" s="239"/>
      <c r="G1842" s="239"/>
      <c r="H1842" s="231">
        <f t="shared" si="56"/>
        <v>0</v>
      </c>
      <c r="I1842" s="231">
        <f t="shared" si="57"/>
        <v>0</v>
      </c>
    </row>
    <row r="1843" spans="1:9" s="85" customFormat="1" hidden="1">
      <c r="A1843" s="1558"/>
      <c r="B1843" s="107"/>
      <c r="C1843" s="256"/>
      <c r="D1843" s="256"/>
      <c r="E1843" s="256"/>
      <c r="F1843" s="239"/>
      <c r="G1843" s="239"/>
      <c r="H1843" s="231">
        <f t="shared" si="56"/>
        <v>0</v>
      </c>
      <c r="I1843" s="231">
        <f t="shared" si="57"/>
        <v>0</v>
      </c>
    </row>
    <row r="1844" spans="1:9" s="85" customFormat="1" hidden="1">
      <c r="A1844" s="1558"/>
      <c r="B1844" s="107"/>
      <c r="C1844" s="256"/>
      <c r="D1844" s="256"/>
      <c r="E1844" s="256"/>
      <c r="F1844" s="239"/>
      <c r="G1844" s="239"/>
      <c r="H1844" s="231">
        <f t="shared" si="56"/>
        <v>0</v>
      </c>
      <c r="I1844" s="231">
        <f t="shared" si="57"/>
        <v>0</v>
      </c>
    </row>
    <row r="1845" spans="1:9" s="85" customFormat="1" hidden="1">
      <c r="A1845" s="1558"/>
      <c r="B1845" s="107"/>
      <c r="C1845" s="256"/>
      <c r="D1845" s="256"/>
      <c r="E1845" s="256"/>
      <c r="F1845" s="239"/>
      <c r="G1845" s="239"/>
      <c r="H1845" s="231">
        <f t="shared" si="56"/>
        <v>0</v>
      </c>
      <c r="I1845" s="231">
        <f t="shared" si="57"/>
        <v>0</v>
      </c>
    </row>
    <row r="1846" spans="1:9" s="85" customFormat="1" hidden="1">
      <c r="A1846" s="1558"/>
      <c r="B1846" s="107"/>
      <c r="C1846" s="256"/>
      <c r="D1846" s="256"/>
      <c r="E1846" s="256"/>
      <c r="F1846" s="239"/>
      <c r="G1846" s="239"/>
      <c r="H1846" s="231">
        <f t="shared" si="56"/>
        <v>0</v>
      </c>
      <c r="I1846" s="231">
        <f t="shared" si="57"/>
        <v>0</v>
      </c>
    </row>
    <row r="1847" spans="1:9" s="85" customFormat="1" hidden="1">
      <c r="A1847" s="1558"/>
      <c r="B1847" s="107"/>
      <c r="C1847" s="256"/>
      <c r="D1847" s="256"/>
      <c r="E1847" s="256"/>
      <c r="F1847" s="239"/>
      <c r="G1847" s="239"/>
      <c r="H1847" s="231">
        <f t="shared" si="56"/>
        <v>0</v>
      </c>
      <c r="I1847" s="231">
        <f t="shared" si="57"/>
        <v>0</v>
      </c>
    </row>
    <row r="1848" spans="1:9" s="85" customFormat="1" hidden="1">
      <c r="A1848" s="1558"/>
      <c r="B1848" s="107"/>
      <c r="C1848" s="256"/>
      <c r="D1848" s="256"/>
      <c r="E1848" s="256"/>
      <c r="F1848" s="239"/>
      <c r="G1848" s="239"/>
      <c r="H1848" s="231">
        <f t="shared" si="56"/>
        <v>0</v>
      </c>
      <c r="I1848" s="231">
        <f t="shared" si="57"/>
        <v>0</v>
      </c>
    </row>
    <row r="1849" spans="1:9" s="85" customFormat="1" hidden="1">
      <c r="A1849" s="1558"/>
      <c r="B1849" s="107"/>
      <c r="C1849" s="256"/>
      <c r="D1849" s="256"/>
      <c r="E1849" s="256"/>
      <c r="F1849" s="239"/>
      <c r="G1849" s="239"/>
      <c r="H1849" s="231">
        <f t="shared" si="56"/>
        <v>0</v>
      </c>
      <c r="I1849" s="231">
        <f t="shared" si="57"/>
        <v>0</v>
      </c>
    </row>
    <row r="1850" spans="1:9" s="85" customFormat="1" hidden="1">
      <c r="A1850" s="1558"/>
      <c r="B1850" s="107"/>
      <c r="C1850" s="256"/>
      <c r="D1850" s="256"/>
      <c r="E1850" s="256"/>
      <c r="F1850" s="239"/>
      <c r="G1850" s="239"/>
      <c r="H1850" s="231">
        <f t="shared" si="56"/>
        <v>0</v>
      </c>
      <c r="I1850" s="231">
        <f t="shared" si="57"/>
        <v>0</v>
      </c>
    </row>
    <row r="1851" spans="1:9" s="85" customFormat="1" hidden="1">
      <c r="A1851" s="1558"/>
      <c r="B1851" s="107"/>
      <c r="C1851" s="256"/>
      <c r="D1851" s="256"/>
      <c r="E1851" s="256"/>
      <c r="F1851" s="239"/>
      <c r="G1851" s="239"/>
      <c r="H1851" s="231">
        <f t="shared" si="56"/>
        <v>0</v>
      </c>
      <c r="I1851" s="231">
        <f t="shared" si="57"/>
        <v>0</v>
      </c>
    </row>
    <row r="1852" spans="1:9" s="85" customFormat="1" hidden="1">
      <c r="A1852" s="1558"/>
      <c r="B1852" s="107"/>
      <c r="C1852" s="256"/>
      <c r="D1852" s="256"/>
      <c r="E1852" s="256"/>
      <c r="F1852" s="239"/>
      <c r="G1852" s="239"/>
      <c r="H1852" s="231">
        <f t="shared" si="56"/>
        <v>0</v>
      </c>
      <c r="I1852" s="231">
        <f t="shared" si="57"/>
        <v>0</v>
      </c>
    </row>
    <row r="1853" spans="1:9" s="85" customFormat="1" hidden="1">
      <c r="A1853" s="1558"/>
      <c r="B1853" s="107"/>
      <c r="C1853" s="256"/>
      <c r="D1853" s="256"/>
      <c r="E1853" s="256"/>
      <c r="F1853" s="239"/>
      <c r="G1853" s="239"/>
      <c r="H1853" s="231">
        <f t="shared" si="56"/>
        <v>0</v>
      </c>
      <c r="I1853" s="231">
        <f t="shared" si="57"/>
        <v>0</v>
      </c>
    </row>
    <row r="1854" spans="1:9" s="85" customFormat="1" hidden="1">
      <c r="A1854" s="1558"/>
      <c r="B1854" s="107"/>
      <c r="C1854" s="256"/>
      <c r="D1854" s="256"/>
      <c r="E1854" s="256"/>
      <c r="F1854" s="239"/>
      <c r="G1854" s="239"/>
      <c r="H1854" s="231">
        <f t="shared" si="56"/>
        <v>0</v>
      </c>
      <c r="I1854" s="231">
        <f t="shared" si="57"/>
        <v>0</v>
      </c>
    </row>
    <row r="1855" spans="1:9" s="85" customFormat="1" hidden="1">
      <c r="A1855" s="1558"/>
      <c r="B1855" s="107"/>
      <c r="C1855" s="256"/>
      <c r="D1855" s="256"/>
      <c r="E1855" s="256"/>
      <c r="F1855" s="239"/>
      <c r="G1855" s="239"/>
      <c r="H1855" s="231">
        <f t="shared" si="56"/>
        <v>0</v>
      </c>
      <c r="I1855" s="231">
        <f t="shared" si="57"/>
        <v>0</v>
      </c>
    </row>
    <row r="1856" spans="1:9" s="85" customFormat="1" hidden="1">
      <c r="A1856" s="1558"/>
      <c r="B1856" s="107"/>
      <c r="C1856" s="256"/>
      <c r="D1856" s="256"/>
      <c r="E1856" s="256"/>
      <c r="F1856" s="239"/>
      <c r="G1856" s="239"/>
      <c r="H1856" s="231">
        <f t="shared" si="56"/>
        <v>0</v>
      </c>
      <c r="I1856" s="231">
        <f t="shared" si="57"/>
        <v>0</v>
      </c>
    </row>
    <row r="1857" spans="1:9" s="85" customFormat="1" hidden="1">
      <c r="A1857" s="1558"/>
      <c r="B1857" s="107"/>
      <c r="C1857" s="256"/>
      <c r="D1857" s="256"/>
      <c r="E1857" s="256"/>
      <c r="F1857" s="239"/>
      <c r="G1857" s="239"/>
      <c r="H1857" s="231">
        <f t="shared" si="56"/>
        <v>0</v>
      </c>
      <c r="I1857" s="231">
        <f t="shared" si="57"/>
        <v>0</v>
      </c>
    </row>
    <row r="1858" spans="1:9" s="85" customFormat="1" hidden="1">
      <c r="A1858" s="1558"/>
      <c r="B1858" s="107"/>
      <c r="C1858" s="654"/>
      <c r="D1858" s="654"/>
      <c r="E1858" s="256"/>
      <c r="F1858" s="239"/>
      <c r="G1858" s="239"/>
      <c r="H1858" s="231">
        <f t="shared" si="56"/>
        <v>0</v>
      </c>
      <c r="I1858" s="231">
        <f t="shared" si="57"/>
        <v>0</v>
      </c>
    </row>
    <row r="1859" spans="1:9" s="85" customFormat="1" hidden="1">
      <c r="A1859" s="1558"/>
      <c r="B1859" s="107"/>
      <c r="C1859" s="654"/>
      <c r="D1859" s="654"/>
      <c r="E1859" s="256"/>
      <c r="F1859" s="239"/>
      <c r="G1859" s="239"/>
      <c r="H1859" s="231">
        <f t="shared" si="56"/>
        <v>0</v>
      </c>
      <c r="I1859" s="231">
        <f t="shared" si="57"/>
        <v>0</v>
      </c>
    </row>
    <row r="1860" spans="1:9" s="85" customFormat="1" hidden="1">
      <c r="A1860" s="1558"/>
      <c r="B1860" s="107"/>
      <c r="C1860" s="654"/>
      <c r="D1860" s="654"/>
      <c r="E1860" s="256"/>
      <c r="F1860" s="239"/>
      <c r="G1860" s="239"/>
      <c r="H1860" s="231">
        <f t="shared" si="56"/>
        <v>0</v>
      </c>
      <c r="I1860" s="231">
        <f t="shared" si="57"/>
        <v>0</v>
      </c>
    </row>
    <row r="1861" spans="1:9" s="85" customFormat="1" hidden="1">
      <c r="A1861" s="1558"/>
      <c r="B1861" s="107"/>
      <c r="C1861" s="654"/>
      <c r="D1861" s="654"/>
      <c r="E1861" s="256"/>
      <c r="F1861" s="239"/>
      <c r="G1861" s="239"/>
      <c r="H1861" s="231">
        <f t="shared" si="56"/>
        <v>0</v>
      </c>
      <c r="I1861" s="231">
        <f t="shared" si="57"/>
        <v>0</v>
      </c>
    </row>
    <row r="1862" spans="1:9" s="85" customFormat="1" hidden="1">
      <c r="A1862" s="1558"/>
      <c r="B1862" s="107"/>
      <c r="C1862" s="654"/>
      <c r="D1862" s="654"/>
      <c r="E1862" s="256"/>
      <c r="F1862" s="239"/>
      <c r="G1862" s="239"/>
      <c r="H1862" s="231">
        <f t="shared" si="56"/>
        <v>0</v>
      </c>
      <c r="I1862" s="231">
        <f t="shared" si="57"/>
        <v>0</v>
      </c>
    </row>
    <row r="1863" spans="1:9" s="85" customFormat="1" hidden="1">
      <c r="A1863" s="1558"/>
      <c r="B1863" s="107"/>
      <c r="C1863" s="654"/>
      <c r="D1863" s="654"/>
      <c r="E1863" s="256"/>
      <c r="F1863" s="239"/>
      <c r="G1863" s="239"/>
      <c r="H1863" s="231">
        <f t="shared" si="56"/>
        <v>0</v>
      </c>
      <c r="I1863" s="231">
        <f t="shared" si="57"/>
        <v>0</v>
      </c>
    </row>
    <row r="1864" spans="1:9" s="85" customFormat="1" hidden="1">
      <c r="A1864" s="1558"/>
      <c r="B1864" s="107"/>
      <c r="C1864" s="654"/>
      <c r="D1864" s="654"/>
      <c r="E1864" s="256"/>
      <c r="F1864" s="239"/>
      <c r="G1864" s="239"/>
      <c r="H1864" s="231">
        <f t="shared" si="56"/>
        <v>0</v>
      </c>
      <c r="I1864" s="231">
        <f t="shared" si="57"/>
        <v>0</v>
      </c>
    </row>
    <row r="1865" spans="1:9" s="85" customFormat="1" hidden="1">
      <c r="A1865" s="1554"/>
      <c r="B1865" s="273"/>
      <c r="C1865" s="682"/>
      <c r="D1865" s="682"/>
      <c r="E1865" s="275"/>
      <c r="F1865" s="239"/>
      <c r="G1865" s="239"/>
      <c r="H1865" s="231">
        <f t="shared" ref="H1865:H1928" si="58">E1865+D1865-C1865</f>
        <v>0</v>
      </c>
      <c r="I1865" s="231">
        <f t="shared" ref="I1865:I1928" si="59">SUM(C1865:E1865)</f>
        <v>0</v>
      </c>
    </row>
    <row r="1866" spans="1:9" s="85" customFormat="1" hidden="1">
      <c r="A1866" s="1554"/>
      <c r="B1866" s="107"/>
      <c r="C1866" s="654"/>
      <c r="D1866" s="654"/>
      <c r="E1866" s="256"/>
      <c r="F1866" s="239"/>
      <c r="G1866" s="239"/>
      <c r="H1866" s="231">
        <f t="shared" si="58"/>
        <v>0</v>
      </c>
      <c r="I1866" s="231">
        <f t="shared" si="59"/>
        <v>0</v>
      </c>
    </row>
    <row r="1867" spans="1:9" s="85" customFormat="1" hidden="1">
      <c r="A1867" s="1554"/>
      <c r="B1867" s="107"/>
      <c r="C1867" s="654"/>
      <c r="D1867" s="654"/>
      <c r="E1867" s="256"/>
      <c r="F1867" s="239"/>
      <c r="G1867" s="239"/>
      <c r="H1867" s="231">
        <f t="shared" si="58"/>
        <v>0</v>
      </c>
      <c r="I1867" s="231">
        <f t="shared" si="59"/>
        <v>0</v>
      </c>
    </row>
    <row r="1868" spans="1:9" s="85" customFormat="1" ht="18" hidden="1" customHeight="1">
      <c r="A1868" s="1554"/>
      <c r="B1868" s="181"/>
      <c r="C1868" s="654"/>
      <c r="D1868" s="654"/>
      <c r="E1868" s="655"/>
      <c r="F1868" s="239"/>
      <c r="G1868" s="239"/>
      <c r="H1868" s="231">
        <f t="shared" si="58"/>
        <v>0</v>
      </c>
      <c r="I1868" s="231">
        <f t="shared" si="59"/>
        <v>0</v>
      </c>
    </row>
    <row r="1869" spans="1:9" s="85" customFormat="1" ht="18" hidden="1" customHeight="1">
      <c r="A1869" s="1554"/>
      <c r="B1869" s="181"/>
      <c r="C1869" s="654"/>
      <c r="D1869" s="654"/>
      <c r="E1869" s="655"/>
      <c r="F1869" s="239"/>
      <c r="G1869" s="239"/>
      <c r="H1869" s="231">
        <f t="shared" si="58"/>
        <v>0</v>
      </c>
      <c r="I1869" s="231">
        <f t="shared" si="59"/>
        <v>0</v>
      </c>
    </row>
    <row r="1870" spans="1:9" s="85" customFormat="1" ht="18" hidden="1" customHeight="1">
      <c r="A1870" s="1554"/>
      <c r="B1870" s="181"/>
      <c r="C1870" s="654"/>
      <c r="D1870" s="654"/>
      <c r="E1870" s="655"/>
      <c r="F1870" s="239"/>
      <c r="G1870" s="239"/>
      <c r="H1870" s="231">
        <f t="shared" si="58"/>
        <v>0</v>
      </c>
      <c r="I1870" s="231">
        <f t="shared" si="59"/>
        <v>0</v>
      </c>
    </row>
    <row r="1871" spans="1:9" s="85" customFormat="1" ht="18" hidden="1" customHeight="1">
      <c r="A1871" s="1554"/>
      <c r="B1871" s="181"/>
      <c r="C1871" s="654"/>
      <c r="D1871" s="654"/>
      <c r="E1871" s="655"/>
      <c r="F1871" s="239"/>
      <c r="G1871" s="239"/>
      <c r="H1871" s="231">
        <f t="shared" si="58"/>
        <v>0</v>
      </c>
      <c r="I1871" s="231">
        <f t="shared" si="59"/>
        <v>0</v>
      </c>
    </row>
    <row r="1872" spans="1:9" s="85" customFormat="1" ht="18" hidden="1" customHeight="1">
      <c r="A1872" s="1554"/>
      <c r="B1872" s="181"/>
      <c r="C1872" s="654"/>
      <c r="D1872" s="654"/>
      <c r="E1872" s="655"/>
      <c r="F1872" s="239"/>
      <c r="G1872" s="239"/>
      <c r="H1872" s="231">
        <f t="shared" si="58"/>
        <v>0</v>
      </c>
      <c r="I1872" s="231">
        <f t="shared" si="59"/>
        <v>0</v>
      </c>
    </row>
    <row r="1873" spans="1:12" s="85" customFormat="1" ht="18" hidden="1" customHeight="1">
      <c r="A1873" s="1554"/>
      <c r="B1873" s="181"/>
      <c r="C1873" s="654"/>
      <c r="D1873" s="654"/>
      <c r="E1873" s="655"/>
      <c r="F1873" s="239"/>
      <c r="G1873" s="239"/>
      <c r="H1873" s="231">
        <f t="shared" si="58"/>
        <v>0</v>
      </c>
      <c r="I1873" s="231">
        <f t="shared" si="59"/>
        <v>0</v>
      </c>
    </row>
    <row r="1874" spans="1:12" s="85" customFormat="1" ht="18" hidden="1" customHeight="1">
      <c r="A1874" s="1554"/>
      <c r="B1874" s="107"/>
      <c r="C1874" s="654"/>
      <c r="D1874" s="654"/>
      <c r="E1874" s="256"/>
      <c r="F1874" s="239"/>
      <c r="G1874" s="239"/>
      <c r="H1874" s="231">
        <f t="shared" si="58"/>
        <v>0</v>
      </c>
      <c r="I1874" s="231">
        <f t="shared" si="59"/>
        <v>0</v>
      </c>
    </row>
    <row r="1875" spans="1:12" s="85" customFormat="1" ht="18" hidden="1" customHeight="1">
      <c r="A1875" s="1554"/>
      <c r="B1875" s="268"/>
      <c r="C1875" s="656"/>
      <c r="D1875" s="656"/>
      <c r="E1875" s="657"/>
      <c r="F1875" s="239"/>
      <c r="G1875" s="239"/>
      <c r="H1875" s="231">
        <f t="shared" si="58"/>
        <v>0</v>
      </c>
      <c r="I1875" s="231">
        <f t="shared" si="59"/>
        <v>0</v>
      </c>
    </row>
    <row r="1876" spans="1:12">
      <c r="A1876" s="1566"/>
      <c r="B1876" s="209" t="s">
        <v>985</v>
      </c>
      <c r="C1876" s="581">
        <f>SUM(C1782:C1875)</f>
        <v>2391940</v>
      </c>
      <c r="D1876" s="581">
        <f>SUM(D1782:D1875)</f>
        <v>2391940</v>
      </c>
      <c r="E1876" s="581">
        <f>SUM(E1782:E1875)</f>
        <v>0</v>
      </c>
      <c r="F1876" s="263">
        <f>SUM(F1782:F1783)</f>
        <v>0</v>
      </c>
      <c r="G1876" s="236">
        <f>SUM(G1782:G1783)</f>
        <v>0</v>
      </c>
      <c r="H1876" s="1497">
        <f t="shared" si="58"/>
        <v>0</v>
      </c>
      <c r="I1876" s="1497">
        <f t="shared" si="59"/>
        <v>4783880</v>
      </c>
      <c r="J1876" s="1440"/>
      <c r="K1876" s="1490"/>
      <c r="L1876" s="1490"/>
    </row>
    <row r="1877" spans="1:12" ht="75">
      <c r="A1877" s="1566" t="s">
        <v>1160</v>
      </c>
      <c r="B1877" s="181" t="s">
        <v>772</v>
      </c>
      <c r="C1877" s="644">
        <v>82000</v>
      </c>
      <c r="D1877" s="589">
        <v>82000</v>
      </c>
      <c r="E1877" s="644"/>
      <c r="F1877" s="237"/>
      <c r="G1877" s="237"/>
      <c r="H1877" s="1497">
        <f t="shared" si="58"/>
        <v>0</v>
      </c>
      <c r="I1877" s="1497">
        <f t="shared" si="59"/>
        <v>164000</v>
      </c>
      <c r="J1877" s="1440"/>
      <c r="K1877" s="1490"/>
      <c r="L1877" s="1490"/>
    </row>
    <row r="1878" spans="1:12" ht="37.5">
      <c r="A1878" s="1566"/>
      <c r="B1878" s="369" t="s">
        <v>1273</v>
      </c>
      <c r="C1878" s="589">
        <v>270873</v>
      </c>
      <c r="D1878" s="589">
        <v>270873</v>
      </c>
      <c r="E1878" s="510"/>
      <c r="F1878" s="237"/>
      <c r="G1878" s="237"/>
      <c r="H1878" s="1497">
        <f t="shared" si="58"/>
        <v>0</v>
      </c>
      <c r="I1878" s="1497">
        <f t="shared" si="59"/>
        <v>541746</v>
      </c>
      <c r="J1878" s="1440"/>
      <c r="K1878" s="1490"/>
      <c r="L1878" s="1490"/>
    </row>
    <row r="1879" spans="1:12" ht="37.5">
      <c r="A1879" s="1566"/>
      <c r="B1879" s="1222" t="s">
        <v>1369</v>
      </c>
      <c r="C1879" s="1214">
        <v>14000</v>
      </c>
      <c r="D1879" s="256"/>
      <c r="E1879" s="256">
        <v>14000</v>
      </c>
      <c r="F1879" s="232"/>
      <c r="G1879" s="232"/>
      <c r="H1879" s="1497">
        <f t="shared" si="58"/>
        <v>0</v>
      </c>
      <c r="I1879" s="1497">
        <f t="shared" si="59"/>
        <v>28000</v>
      </c>
      <c r="J1879" s="1440"/>
      <c r="K1879" s="1490"/>
      <c r="L1879" s="1490"/>
    </row>
    <row r="1880" spans="1:12" ht="75">
      <c r="A1880" s="1566"/>
      <c r="B1880" s="1215" t="s">
        <v>1370</v>
      </c>
      <c r="C1880" s="1214">
        <v>18000</v>
      </c>
      <c r="D1880" s="256"/>
      <c r="E1880" s="256">
        <v>18000</v>
      </c>
      <c r="F1880" s="232"/>
      <c r="G1880" s="232"/>
      <c r="H1880" s="1497">
        <f t="shared" si="58"/>
        <v>0</v>
      </c>
      <c r="I1880" s="1497">
        <f t="shared" si="59"/>
        <v>36000</v>
      </c>
      <c r="J1880" s="1440"/>
      <c r="K1880" s="1490"/>
      <c r="L1880" s="1490"/>
    </row>
    <row r="1881" spans="1:12" ht="56.25">
      <c r="A1881" s="1566"/>
      <c r="B1881" s="107" t="s">
        <v>1640</v>
      </c>
      <c r="C1881" s="817">
        <v>20000</v>
      </c>
      <c r="D1881" s="817">
        <v>20000</v>
      </c>
      <c r="E1881" s="184"/>
      <c r="F1881" s="232"/>
      <c r="G1881" s="232"/>
      <c r="H1881" s="1497">
        <f t="shared" si="58"/>
        <v>0</v>
      </c>
      <c r="I1881" s="1497">
        <f t="shared" si="59"/>
        <v>40000</v>
      </c>
      <c r="J1881" s="1440"/>
      <c r="K1881" s="1490"/>
      <c r="L1881" s="1490"/>
    </row>
    <row r="1882" spans="1:12" ht="75">
      <c r="A1882" s="1566"/>
      <c r="B1882" s="107" t="s">
        <v>1641</v>
      </c>
      <c r="C1882" s="184">
        <v>20600</v>
      </c>
      <c r="D1882" s="184"/>
      <c r="E1882" s="184">
        <v>20600</v>
      </c>
      <c r="F1882" s="232"/>
      <c r="G1882" s="232"/>
      <c r="H1882" s="1497">
        <f t="shared" si="58"/>
        <v>0</v>
      </c>
      <c r="I1882" s="1497">
        <f t="shared" si="59"/>
        <v>41200</v>
      </c>
      <c r="J1882" s="1440"/>
      <c r="K1882" s="1490"/>
      <c r="L1882" s="1490"/>
    </row>
    <row r="1883" spans="1:12" ht="75">
      <c r="A1883" s="1566"/>
      <c r="B1883" s="107" t="s">
        <v>1642</v>
      </c>
      <c r="C1883" s="184">
        <v>10000</v>
      </c>
      <c r="D1883" s="184">
        <v>10000</v>
      </c>
      <c r="E1883" s="184"/>
      <c r="F1883" s="232"/>
      <c r="G1883" s="232"/>
      <c r="H1883" s="1497">
        <f t="shared" si="58"/>
        <v>0</v>
      </c>
      <c r="I1883" s="1497">
        <f t="shared" si="59"/>
        <v>20000</v>
      </c>
      <c r="J1883" s="1440"/>
      <c r="K1883" s="1490"/>
      <c r="L1883" s="1490"/>
    </row>
    <row r="1884" spans="1:12" ht="56.25">
      <c r="A1884" s="1566"/>
      <c r="B1884" s="425" t="s">
        <v>1643</v>
      </c>
      <c r="C1884" s="817">
        <v>40000</v>
      </c>
      <c r="D1884" s="817">
        <v>40000</v>
      </c>
      <c r="E1884" s="184"/>
      <c r="F1884" s="232"/>
      <c r="G1884" s="232"/>
      <c r="H1884" s="1497">
        <f t="shared" si="58"/>
        <v>0</v>
      </c>
      <c r="I1884" s="1497">
        <f t="shared" si="59"/>
        <v>80000</v>
      </c>
      <c r="J1884" s="1440"/>
      <c r="K1884" s="1490"/>
      <c r="L1884" s="1490"/>
    </row>
    <row r="1885" spans="1:12" ht="56.25">
      <c r="A1885" s="1566"/>
      <c r="B1885" s="107" t="s">
        <v>2134</v>
      </c>
      <c r="C1885" s="184">
        <v>15000</v>
      </c>
      <c r="D1885" s="184">
        <v>15000</v>
      </c>
      <c r="E1885" s="184"/>
      <c r="F1885" s="232"/>
      <c r="G1885" s="232"/>
      <c r="H1885" s="1497">
        <f t="shared" si="58"/>
        <v>0</v>
      </c>
      <c r="I1885" s="1497">
        <f t="shared" si="59"/>
        <v>30000</v>
      </c>
      <c r="J1885" s="1440"/>
      <c r="K1885" s="1490"/>
      <c r="L1885" s="1490"/>
    </row>
    <row r="1886" spans="1:12" hidden="1">
      <c r="A1886" s="1566"/>
      <c r="B1886" s="425"/>
      <c r="C1886" s="649"/>
      <c r="D1886" s="649"/>
      <c r="E1886" s="256"/>
      <c r="F1886" s="354"/>
      <c r="G1886" s="354"/>
      <c r="H1886" s="231">
        <f t="shared" si="58"/>
        <v>0</v>
      </c>
      <c r="I1886" s="231">
        <f t="shared" si="59"/>
        <v>0</v>
      </c>
    </row>
    <row r="1887" spans="1:12" hidden="1">
      <c r="A1887" s="1566"/>
      <c r="B1887" s="770"/>
      <c r="C1887" s="771"/>
      <c r="D1887" s="771"/>
      <c r="E1887" s="772"/>
      <c r="F1887" s="232"/>
      <c r="G1887" s="232"/>
      <c r="H1887" s="231">
        <f t="shared" si="58"/>
        <v>0</v>
      </c>
      <c r="I1887" s="231">
        <f t="shared" si="59"/>
        <v>0</v>
      </c>
    </row>
    <row r="1888" spans="1:12" hidden="1">
      <c r="A1888" s="1566"/>
      <c r="B1888" s="770"/>
      <c r="C1888" s="771"/>
      <c r="D1888" s="771"/>
      <c r="E1888" s="772"/>
      <c r="F1888" s="232"/>
      <c r="G1888" s="232"/>
      <c r="H1888" s="231">
        <f t="shared" si="58"/>
        <v>0</v>
      </c>
      <c r="I1888" s="231">
        <f t="shared" si="59"/>
        <v>0</v>
      </c>
    </row>
    <row r="1889" spans="1:9" s="458" customFormat="1" hidden="1">
      <c r="A1889" s="1566"/>
      <c r="B1889" s="371"/>
      <c r="C1889" s="665"/>
      <c r="D1889" s="665"/>
      <c r="E1889" s="665"/>
      <c r="F1889" s="354"/>
      <c r="G1889" s="354"/>
      <c r="H1889" s="231">
        <f t="shared" si="58"/>
        <v>0</v>
      </c>
      <c r="I1889" s="231">
        <f t="shared" si="59"/>
        <v>0</v>
      </c>
    </row>
    <row r="1890" spans="1:9" s="458" customFormat="1" hidden="1">
      <c r="A1890" s="1566"/>
      <c r="B1890" s="371"/>
      <c r="C1890" s="851"/>
      <c r="D1890" s="851"/>
      <c r="E1890" s="852"/>
      <c r="F1890" s="354"/>
      <c r="G1890" s="354"/>
      <c r="H1890" s="231">
        <f t="shared" si="58"/>
        <v>0</v>
      </c>
      <c r="I1890" s="231">
        <f t="shared" si="59"/>
        <v>0</v>
      </c>
    </row>
    <row r="1891" spans="1:9" hidden="1">
      <c r="A1891" s="1566"/>
      <c r="B1891" s="371"/>
      <c r="C1891" s="851"/>
      <c r="D1891" s="851"/>
      <c r="E1891" s="852"/>
      <c r="F1891" s="232"/>
      <c r="G1891" s="232"/>
      <c r="H1891" s="231">
        <f t="shared" si="58"/>
        <v>0</v>
      </c>
      <c r="I1891" s="231">
        <f t="shared" si="59"/>
        <v>0</v>
      </c>
    </row>
    <row r="1892" spans="1:9" hidden="1">
      <c r="A1892" s="1566"/>
      <c r="B1892" s="371"/>
      <c r="C1892" s="851"/>
      <c r="D1892" s="851"/>
      <c r="E1892" s="852"/>
      <c r="F1892" s="232"/>
      <c r="G1892" s="232"/>
      <c r="H1892" s="231">
        <f t="shared" si="58"/>
        <v>0</v>
      </c>
      <c r="I1892" s="231">
        <f t="shared" si="59"/>
        <v>0</v>
      </c>
    </row>
    <row r="1893" spans="1:9" hidden="1">
      <c r="A1893" s="1566"/>
      <c r="B1893" s="371"/>
      <c r="C1893" s="851"/>
      <c r="D1893" s="851"/>
      <c r="E1893" s="852"/>
      <c r="F1893" s="232"/>
      <c r="G1893" s="232"/>
      <c r="H1893" s="231">
        <f t="shared" si="58"/>
        <v>0</v>
      </c>
      <c r="I1893" s="231">
        <f t="shared" si="59"/>
        <v>0</v>
      </c>
    </row>
    <row r="1894" spans="1:9" s="460" customFormat="1" hidden="1">
      <c r="A1894" s="1566"/>
      <c r="B1894" s="371"/>
      <c r="C1894" s="851"/>
      <c r="D1894" s="851"/>
      <c r="E1894" s="852"/>
      <c r="F1894" s="459"/>
      <c r="G1894" s="459"/>
      <c r="H1894" s="231">
        <f t="shared" si="58"/>
        <v>0</v>
      </c>
      <c r="I1894" s="231">
        <f t="shared" si="59"/>
        <v>0</v>
      </c>
    </row>
    <row r="1895" spans="1:9" hidden="1">
      <c r="A1895" s="1566"/>
      <c r="B1895" s="371"/>
      <c r="C1895" s="851"/>
      <c r="D1895" s="851"/>
      <c r="E1895" s="852"/>
      <c r="F1895" s="232"/>
      <c r="G1895" s="232"/>
      <c r="H1895" s="231">
        <f t="shared" si="58"/>
        <v>0</v>
      </c>
      <c r="I1895" s="231">
        <f t="shared" si="59"/>
        <v>0</v>
      </c>
    </row>
    <row r="1896" spans="1:9" hidden="1">
      <c r="A1896" s="1566"/>
      <c r="B1896" s="371"/>
      <c r="C1896" s="850"/>
      <c r="D1896" s="850"/>
      <c r="E1896" s="844"/>
      <c r="F1896" s="232"/>
      <c r="G1896" s="232"/>
      <c r="H1896" s="231">
        <f t="shared" si="58"/>
        <v>0</v>
      </c>
      <c r="I1896" s="231">
        <f t="shared" si="59"/>
        <v>0</v>
      </c>
    </row>
    <row r="1897" spans="1:9" hidden="1">
      <c r="A1897" s="1566"/>
      <c r="B1897" s="857"/>
      <c r="C1897" s="861"/>
      <c r="D1897" s="850"/>
      <c r="E1897" s="844"/>
      <c r="F1897" s="232"/>
      <c r="G1897" s="232"/>
      <c r="H1897" s="231">
        <f t="shared" si="58"/>
        <v>0</v>
      </c>
      <c r="I1897" s="231">
        <f t="shared" si="59"/>
        <v>0</v>
      </c>
    </row>
    <row r="1898" spans="1:9" hidden="1">
      <c r="A1898" s="1566"/>
      <c r="B1898" s="821"/>
      <c r="C1898" s="851"/>
      <c r="D1898" s="851"/>
      <c r="E1898" s="852"/>
      <c r="F1898" s="232"/>
      <c r="G1898" s="232"/>
      <c r="H1898" s="231">
        <f t="shared" si="58"/>
        <v>0</v>
      </c>
      <c r="I1898" s="231">
        <f t="shared" si="59"/>
        <v>0</v>
      </c>
    </row>
    <row r="1899" spans="1:9" hidden="1">
      <c r="A1899" s="1566"/>
      <c r="B1899" s="352"/>
      <c r="C1899" s="670"/>
      <c r="D1899" s="670"/>
      <c r="E1899" s="671"/>
      <c r="F1899" s="232"/>
      <c r="G1899" s="232"/>
      <c r="H1899" s="231">
        <f t="shared" si="58"/>
        <v>0</v>
      </c>
      <c r="I1899" s="231">
        <f t="shared" si="59"/>
        <v>0</v>
      </c>
    </row>
    <row r="1900" spans="1:9" hidden="1">
      <c r="A1900" s="1566"/>
      <c r="B1900" s="352"/>
      <c r="C1900" s="670"/>
      <c r="D1900" s="670"/>
      <c r="E1900" s="671"/>
      <c r="F1900" s="232"/>
      <c r="G1900" s="232"/>
      <c r="H1900" s="231">
        <f t="shared" si="58"/>
        <v>0</v>
      </c>
      <c r="I1900" s="231">
        <f t="shared" si="59"/>
        <v>0</v>
      </c>
    </row>
    <row r="1901" spans="1:9" hidden="1">
      <c r="A1901" s="1566"/>
      <c r="B1901" s="352"/>
      <c r="C1901" s="670"/>
      <c r="D1901" s="670"/>
      <c r="E1901" s="671"/>
      <c r="F1901" s="232"/>
      <c r="G1901" s="232"/>
      <c r="H1901" s="231">
        <f t="shared" si="58"/>
        <v>0</v>
      </c>
      <c r="I1901" s="231">
        <f t="shared" si="59"/>
        <v>0</v>
      </c>
    </row>
    <row r="1902" spans="1:9" hidden="1">
      <c r="A1902" s="1566"/>
      <c r="B1902" s="359"/>
      <c r="C1902" s="678"/>
      <c r="D1902" s="678"/>
      <c r="E1902" s="660"/>
      <c r="F1902" s="232"/>
      <c r="G1902" s="232"/>
      <c r="H1902" s="231">
        <f t="shared" si="58"/>
        <v>0</v>
      </c>
      <c r="I1902" s="231">
        <f t="shared" si="59"/>
        <v>0</v>
      </c>
    </row>
    <row r="1903" spans="1:9" hidden="1">
      <c r="A1903" s="1566"/>
      <c r="B1903" s="405"/>
      <c r="C1903" s="694"/>
      <c r="D1903" s="660"/>
      <c r="E1903" s="660"/>
      <c r="F1903" s="232"/>
      <c r="G1903" s="232"/>
      <c r="H1903" s="231">
        <f t="shared" si="58"/>
        <v>0</v>
      </c>
      <c r="I1903" s="231">
        <f t="shared" si="59"/>
        <v>0</v>
      </c>
    </row>
    <row r="1904" spans="1:9" s="7" customFormat="1" hidden="1">
      <c r="A1904" s="1558"/>
      <c r="B1904" s="385"/>
      <c r="C1904" s="638"/>
      <c r="D1904" s="638"/>
      <c r="E1904" s="639"/>
      <c r="F1904" s="232"/>
      <c r="G1904" s="232"/>
      <c r="H1904" s="231">
        <f t="shared" si="58"/>
        <v>0</v>
      </c>
      <c r="I1904" s="231">
        <f t="shared" si="59"/>
        <v>0</v>
      </c>
    </row>
    <row r="1905" spans="1:9" s="7" customFormat="1" hidden="1">
      <c r="A1905" s="1558"/>
      <c r="B1905" s="385"/>
      <c r="C1905" s="638"/>
      <c r="D1905" s="638"/>
      <c r="E1905" s="639"/>
      <c r="F1905" s="232"/>
      <c r="G1905" s="232"/>
      <c r="H1905" s="231">
        <f t="shared" si="58"/>
        <v>0</v>
      </c>
      <c r="I1905" s="231">
        <f t="shared" si="59"/>
        <v>0</v>
      </c>
    </row>
    <row r="1906" spans="1:9" s="7" customFormat="1" hidden="1">
      <c r="A1906" s="1558"/>
      <c r="B1906" s="402"/>
      <c r="C1906" s="651"/>
      <c r="D1906" s="692"/>
      <c r="E1906" s="692"/>
      <c r="F1906" s="232"/>
      <c r="G1906" s="232"/>
      <c r="H1906" s="231">
        <f t="shared" si="58"/>
        <v>0</v>
      </c>
      <c r="I1906" s="231">
        <f t="shared" si="59"/>
        <v>0</v>
      </c>
    </row>
    <row r="1907" spans="1:9" s="7" customFormat="1" hidden="1">
      <c r="A1907" s="1558"/>
      <c r="B1907" s="402"/>
      <c r="C1907" s="651"/>
      <c r="D1907" s="692"/>
      <c r="E1907" s="692"/>
      <c r="F1907" s="232"/>
      <c r="G1907" s="232"/>
      <c r="H1907" s="231">
        <f t="shared" si="58"/>
        <v>0</v>
      </c>
      <c r="I1907" s="231">
        <f t="shared" si="59"/>
        <v>0</v>
      </c>
    </row>
    <row r="1908" spans="1:9" s="7" customFormat="1" hidden="1">
      <c r="A1908" s="1558"/>
      <c r="B1908" s="402"/>
      <c r="C1908" s="651"/>
      <c r="D1908" s="692"/>
      <c r="E1908" s="692"/>
      <c r="F1908" s="232"/>
      <c r="G1908" s="232"/>
      <c r="H1908" s="231">
        <f t="shared" si="58"/>
        <v>0</v>
      </c>
      <c r="I1908" s="231">
        <f t="shared" si="59"/>
        <v>0</v>
      </c>
    </row>
    <row r="1909" spans="1:9" s="7" customFormat="1" hidden="1">
      <c r="A1909" s="1558"/>
      <c r="B1909" s="402"/>
      <c r="C1909" s="651"/>
      <c r="D1909" s="692"/>
      <c r="E1909" s="692"/>
      <c r="F1909" s="232"/>
      <c r="G1909" s="232"/>
      <c r="H1909" s="231">
        <f t="shared" si="58"/>
        <v>0</v>
      </c>
      <c r="I1909" s="231">
        <f t="shared" si="59"/>
        <v>0</v>
      </c>
    </row>
    <row r="1910" spans="1:9" s="7" customFormat="1" hidden="1">
      <c r="A1910" s="1558"/>
      <c r="B1910" s="402"/>
      <c r="C1910" s="651"/>
      <c r="D1910" s="692"/>
      <c r="E1910" s="692"/>
      <c r="F1910" s="232"/>
      <c r="G1910" s="232"/>
      <c r="H1910" s="231">
        <f t="shared" si="58"/>
        <v>0</v>
      </c>
      <c r="I1910" s="231">
        <f t="shared" si="59"/>
        <v>0</v>
      </c>
    </row>
    <row r="1911" spans="1:9" s="7" customFormat="1" hidden="1">
      <c r="A1911" s="1558"/>
      <c r="B1911" s="371"/>
      <c r="C1911" s="664"/>
      <c r="D1911" s="664"/>
      <c r="E1911" s="256"/>
      <c r="F1911" s="232"/>
      <c r="G1911" s="232"/>
      <c r="H1911" s="231">
        <f t="shared" si="58"/>
        <v>0</v>
      </c>
      <c r="I1911" s="231">
        <f t="shared" si="59"/>
        <v>0</v>
      </c>
    </row>
    <row r="1912" spans="1:9" s="7" customFormat="1" hidden="1">
      <c r="A1912" s="1558"/>
      <c r="B1912" s="114"/>
      <c r="C1912" s="654"/>
      <c r="D1912" s="654"/>
      <c r="E1912" s="654"/>
      <c r="F1912" s="232"/>
      <c r="G1912" s="232"/>
      <c r="H1912" s="231">
        <f t="shared" si="58"/>
        <v>0</v>
      </c>
      <c r="I1912" s="231">
        <f t="shared" si="59"/>
        <v>0</v>
      </c>
    </row>
    <row r="1913" spans="1:9" s="7" customFormat="1" hidden="1">
      <c r="A1913" s="1558"/>
      <c r="B1913" s="107"/>
      <c r="C1913" s="654"/>
      <c r="D1913" s="654"/>
      <c r="E1913" s="256"/>
      <c r="F1913" s="232"/>
      <c r="G1913" s="232"/>
      <c r="H1913" s="231">
        <f t="shared" si="58"/>
        <v>0</v>
      </c>
      <c r="I1913" s="231">
        <f t="shared" si="59"/>
        <v>0</v>
      </c>
    </row>
    <row r="1914" spans="1:9" s="7" customFormat="1" hidden="1">
      <c r="A1914" s="1558"/>
      <c r="B1914" s="107"/>
      <c r="C1914" s="654"/>
      <c r="D1914" s="654"/>
      <c r="E1914" s="256"/>
      <c r="F1914" s="232"/>
      <c r="G1914" s="232"/>
      <c r="H1914" s="231">
        <f t="shared" si="58"/>
        <v>0</v>
      </c>
      <c r="I1914" s="231">
        <f t="shared" si="59"/>
        <v>0</v>
      </c>
    </row>
    <row r="1915" spans="1:9" s="7" customFormat="1" hidden="1">
      <c r="A1915" s="1558"/>
      <c r="B1915" s="107"/>
      <c r="C1915" s="654"/>
      <c r="D1915" s="654"/>
      <c r="E1915" s="256"/>
      <c r="F1915" s="232"/>
      <c r="G1915" s="232"/>
      <c r="H1915" s="231">
        <f t="shared" si="58"/>
        <v>0</v>
      </c>
      <c r="I1915" s="231">
        <f t="shared" si="59"/>
        <v>0</v>
      </c>
    </row>
    <row r="1916" spans="1:9" s="7" customFormat="1" hidden="1">
      <c r="A1916" s="1558"/>
      <c r="B1916" s="107"/>
      <c r="C1916" s="654"/>
      <c r="D1916" s="654"/>
      <c r="E1916" s="256"/>
      <c r="F1916" s="232"/>
      <c r="G1916" s="232"/>
      <c r="H1916" s="231">
        <f t="shared" si="58"/>
        <v>0</v>
      </c>
      <c r="I1916" s="231">
        <f t="shared" si="59"/>
        <v>0</v>
      </c>
    </row>
    <row r="1917" spans="1:9" s="7" customFormat="1" hidden="1">
      <c r="A1917" s="1558"/>
      <c r="B1917" s="107"/>
      <c r="C1917" s="654"/>
      <c r="D1917" s="654"/>
      <c r="E1917" s="256"/>
      <c r="F1917" s="232"/>
      <c r="G1917" s="232"/>
      <c r="H1917" s="231">
        <f t="shared" si="58"/>
        <v>0</v>
      </c>
      <c r="I1917" s="231">
        <f t="shared" si="59"/>
        <v>0</v>
      </c>
    </row>
    <row r="1918" spans="1:9" s="7" customFormat="1" hidden="1">
      <c r="A1918" s="1558"/>
      <c r="B1918" s="107"/>
      <c r="C1918" s="654"/>
      <c r="D1918" s="654"/>
      <c r="E1918" s="654"/>
      <c r="F1918" s="232"/>
      <c r="G1918" s="232"/>
      <c r="H1918" s="231">
        <f t="shared" si="58"/>
        <v>0</v>
      </c>
      <c r="I1918" s="231">
        <f t="shared" si="59"/>
        <v>0</v>
      </c>
    </row>
    <row r="1919" spans="1:9" s="7" customFormat="1" hidden="1">
      <c r="A1919" s="1558"/>
      <c r="B1919" s="107"/>
      <c r="C1919" s="654"/>
      <c r="D1919" s="654"/>
      <c r="E1919" s="256"/>
      <c r="F1919" s="232"/>
      <c r="G1919" s="232"/>
      <c r="H1919" s="231">
        <f t="shared" si="58"/>
        <v>0</v>
      </c>
      <c r="I1919" s="231">
        <f t="shared" si="59"/>
        <v>0</v>
      </c>
    </row>
    <row r="1920" spans="1:9" s="7" customFormat="1" hidden="1">
      <c r="A1920" s="1558"/>
      <c r="B1920" s="107"/>
      <c r="C1920" s="654"/>
      <c r="D1920" s="654"/>
      <c r="E1920" s="256"/>
      <c r="F1920" s="232"/>
      <c r="G1920" s="232"/>
      <c r="H1920" s="231">
        <f t="shared" si="58"/>
        <v>0</v>
      </c>
      <c r="I1920" s="231">
        <f t="shared" si="59"/>
        <v>0</v>
      </c>
    </row>
    <row r="1921" spans="1:9" s="7" customFormat="1" hidden="1">
      <c r="A1921" s="1558"/>
      <c r="B1921" s="107"/>
      <c r="C1921" s="654"/>
      <c r="D1921" s="654"/>
      <c r="E1921" s="256"/>
      <c r="F1921" s="232"/>
      <c r="G1921" s="232"/>
      <c r="H1921" s="231">
        <f t="shared" si="58"/>
        <v>0</v>
      </c>
      <c r="I1921" s="231">
        <f t="shared" si="59"/>
        <v>0</v>
      </c>
    </row>
    <row r="1922" spans="1:9" s="7" customFormat="1" hidden="1">
      <c r="A1922" s="1558"/>
      <c r="B1922" s="107"/>
      <c r="C1922" s="654"/>
      <c r="D1922" s="654"/>
      <c r="E1922" s="256"/>
      <c r="F1922" s="232"/>
      <c r="G1922" s="232"/>
      <c r="H1922" s="231">
        <f t="shared" si="58"/>
        <v>0</v>
      </c>
      <c r="I1922" s="231">
        <f t="shared" si="59"/>
        <v>0</v>
      </c>
    </row>
    <row r="1923" spans="1:9" s="7" customFormat="1" hidden="1">
      <c r="A1923" s="1558"/>
      <c r="B1923" s="107"/>
      <c r="C1923" s="654"/>
      <c r="D1923" s="654"/>
      <c r="E1923" s="256"/>
      <c r="F1923" s="232"/>
      <c r="G1923" s="232"/>
      <c r="H1923" s="231">
        <f t="shared" si="58"/>
        <v>0</v>
      </c>
      <c r="I1923" s="231">
        <f t="shared" si="59"/>
        <v>0</v>
      </c>
    </row>
    <row r="1924" spans="1:9" s="7" customFormat="1" hidden="1">
      <c r="A1924" s="1558"/>
      <c r="B1924" s="107"/>
      <c r="C1924" s="654"/>
      <c r="D1924" s="654"/>
      <c r="E1924" s="654"/>
      <c r="F1924" s="232"/>
      <c r="G1924" s="232"/>
      <c r="H1924" s="231">
        <f t="shared" si="58"/>
        <v>0</v>
      </c>
      <c r="I1924" s="231">
        <f t="shared" si="59"/>
        <v>0</v>
      </c>
    </row>
    <row r="1925" spans="1:9" s="7" customFormat="1" hidden="1">
      <c r="A1925" s="1558"/>
      <c r="B1925" s="107"/>
      <c r="C1925" s="654"/>
      <c r="D1925" s="654"/>
      <c r="E1925" s="256"/>
      <c r="F1925" s="232"/>
      <c r="G1925" s="232"/>
      <c r="H1925" s="231">
        <f t="shared" si="58"/>
        <v>0</v>
      </c>
      <c r="I1925" s="231">
        <f t="shared" si="59"/>
        <v>0</v>
      </c>
    </row>
    <row r="1926" spans="1:9" s="7" customFormat="1" hidden="1">
      <c r="A1926" s="1558"/>
      <c r="B1926" s="107"/>
      <c r="C1926" s="654"/>
      <c r="D1926" s="654"/>
      <c r="E1926" s="256"/>
      <c r="F1926" s="232"/>
      <c r="G1926" s="232"/>
      <c r="H1926" s="231">
        <f t="shared" si="58"/>
        <v>0</v>
      </c>
      <c r="I1926" s="231">
        <f t="shared" si="59"/>
        <v>0</v>
      </c>
    </row>
    <row r="1927" spans="1:9" s="7" customFormat="1" hidden="1">
      <c r="A1927" s="1558"/>
      <c r="B1927" s="107"/>
      <c r="C1927" s="654"/>
      <c r="D1927" s="654"/>
      <c r="E1927" s="654"/>
      <c r="F1927" s="232"/>
      <c r="G1927" s="232"/>
      <c r="H1927" s="231">
        <f t="shared" si="58"/>
        <v>0</v>
      </c>
      <c r="I1927" s="231">
        <f t="shared" si="59"/>
        <v>0</v>
      </c>
    </row>
    <row r="1928" spans="1:9" s="7" customFormat="1" hidden="1">
      <c r="A1928" s="1558"/>
      <c r="B1928" s="107"/>
      <c r="C1928" s="654"/>
      <c r="D1928" s="654"/>
      <c r="E1928" s="256"/>
      <c r="F1928" s="232"/>
      <c r="G1928" s="232"/>
      <c r="H1928" s="231">
        <f t="shared" si="58"/>
        <v>0</v>
      </c>
      <c r="I1928" s="231">
        <f t="shared" si="59"/>
        <v>0</v>
      </c>
    </row>
    <row r="1929" spans="1:9" s="7" customFormat="1" hidden="1">
      <c r="A1929" s="1558"/>
      <c r="B1929" s="107"/>
      <c r="C1929" s="654"/>
      <c r="D1929" s="654"/>
      <c r="E1929" s="256"/>
      <c r="F1929" s="232"/>
      <c r="G1929" s="232"/>
      <c r="H1929" s="231">
        <f t="shared" ref="H1929:H1992" si="60">E1929+D1929-C1929</f>
        <v>0</v>
      </c>
      <c r="I1929" s="231">
        <f t="shared" ref="I1929:I1992" si="61">SUM(C1929:E1929)</f>
        <v>0</v>
      </c>
    </row>
    <row r="1930" spans="1:9" s="7" customFormat="1" hidden="1">
      <c r="A1930" s="1558"/>
      <c r="B1930" s="107"/>
      <c r="C1930" s="654"/>
      <c r="D1930" s="654"/>
      <c r="E1930" s="256"/>
      <c r="F1930" s="232"/>
      <c r="G1930" s="232"/>
      <c r="H1930" s="231">
        <f t="shared" si="60"/>
        <v>0</v>
      </c>
      <c r="I1930" s="231">
        <f t="shared" si="61"/>
        <v>0</v>
      </c>
    </row>
    <row r="1931" spans="1:9" s="7" customFormat="1" hidden="1">
      <c r="A1931" s="1558"/>
      <c r="B1931" s="107"/>
      <c r="C1931" s="654"/>
      <c r="D1931" s="654"/>
      <c r="E1931" s="256"/>
      <c r="F1931" s="232"/>
      <c r="G1931" s="232"/>
      <c r="H1931" s="231">
        <f t="shared" si="60"/>
        <v>0</v>
      </c>
      <c r="I1931" s="231">
        <f t="shared" si="61"/>
        <v>0</v>
      </c>
    </row>
    <row r="1932" spans="1:9" s="7" customFormat="1" hidden="1">
      <c r="A1932" s="1558"/>
      <c r="B1932" s="107"/>
      <c r="C1932" s="654"/>
      <c r="D1932" s="654"/>
      <c r="E1932" s="256"/>
      <c r="F1932" s="232"/>
      <c r="G1932" s="232"/>
      <c r="H1932" s="231">
        <f t="shared" si="60"/>
        <v>0</v>
      </c>
      <c r="I1932" s="231">
        <f t="shared" si="61"/>
        <v>0</v>
      </c>
    </row>
    <row r="1933" spans="1:9" s="7" customFormat="1" hidden="1">
      <c r="A1933" s="1558"/>
      <c r="B1933" s="107"/>
      <c r="C1933" s="654"/>
      <c r="D1933" s="654"/>
      <c r="E1933" s="256"/>
      <c r="F1933" s="232"/>
      <c r="G1933" s="232"/>
      <c r="H1933" s="231">
        <f t="shared" si="60"/>
        <v>0</v>
      </c>
      <c r="I1933" s="231">
        <f t="shared" si="61"/>
        <v>0</v>
      </c>
    </row>
    <row r="1934" spans="1:9" s="7" customFormat="1" hidden="1">
      <c r="A1934" s="1558"/>
      <c r="B1934" s="107"/>
      <c r="C1934" s="654"/>
      <c r="D1934" s="654"/>
      <c r="E1934" s="256"/>
      <c r="F1934" s="232"/>
      <c r="G1934" s="232"/>
      <c r="H1934" s="231">
        <f t="shared" si="60"/>
        <v>0</v>
      </c>
      <c r="I1934" s="231">
        <f t="shared" si="61"/>
        <v>0</v>
      </c>
    </row>
    <row r="1935" spans="1:9" s="7" customFormat="1" hidden="1">
      <c r="A1935" s="1558"/>
      <c r="B1935" s="107"/>
      <c r="C1935" s="654"/>
      <c r="D1935" s="654"/>
      <c r="E1935" s="256"/>
      <c r="F1935" s="232"/>
      <c r="G1935" s="232"/>
      <c r="H1935" s="231">
        <f t="shared" si="60"/>
        <v>0</v>
      </c>
      <c r="I1935" s="231">
        <f t="shared" si="61"/>
        <v>0</v>
      </c>
    </row>
    <row r="1936" spans="1:9" s="7" customFormat="1" hidden="1">
      <c r="A1936" s="1558"/>
      <c r="B1936" s="107"/>
      <c r="C1936" s="654"/>
      <c r="D1936" s="654"/>
      <c r="E1936" s="256"/>
      <c r="F1936" s="232"/>
      <c r="G1936" s="232"/>
      <c r="H1936" s="231">
        <f t="shared" si="60"/>
        <v>0</v>
      </c>
      <c r="I1936" s="231">
        <f t="shared" si="61"/>
        <v>0</v>
      </c>
    </row>
    <row r="1937" spans="1:9" s="7" customFormat="1" hidden="1">
      <c r="A1937" s="1558"/>
      <c r="B1937" s="251"/>
      <c r="C1937" s="654"/>
      <c r="D1937" s="654"/>
      <c r="E1937" s="256"/>
      <c r="F1937" s="232"/>
      <c r="G1937" s="232"/>
      <c r="H1937" s="231">
        <f t="shared" si="60"/>
        <v>0</v>
      </c>
      <c r="I1937" s="231">
        <f t="shared" si="61"/>
        <v>0</v>
      </c>
    </row>
    <row r="1938" spans="1:9" s="7" customFormat="1" hidden="1">
      <c r="A1938" s="1558"/>
      <c r="B1938" s="107"/>
      <c r="C1938" s="654"/>
      <c r="D1938" s="654"/>
      <c r="E1938" s="256"/>
      <c r="F1938" s="232"/>
      <c r="G1938" s="232"/>
      <c r="H1938" s="231">
        <f t="shared" si="60"/>
        <v>0</v>
      </c>
      <c r="I1938" s="231">
        <f t="shared" si="61"/>
        <v>0</v>
      </c>
    </row>
    <row r="1939" spans="1:9" s="7" customFormat="1" hidden="1">
      <c r="A1939" s="1558"/>
      <c r="B1939" s="107"/>
      <c r="C1939" s="654"/>
      <c r="D1939" s="654"/>
      <c r="E1939" s="256"/>
      <c r="F1939" s="232"/>
      <c r="G1939" s="232"/>
      <c r="H1939" s="231">
        <f t="shared" si="60"/>
        <v>0</v>
      </c>
      <c r="I1939" s="231">
        <f t="shared" si="61"/>
        <v>0</v>
      </c>
    </row>
    <row r="1940" spans="1:9" s="7" customFormat="1" hidden="1">
      <c r="A1940" s="1558"/>
      <c r="B1940" s="107"/>
      <c r="C1940" s="654"/>
      <c r="D1940" s="654"/>
      <c r="E1940" s="256"/>
      <c r="F1940" s="232"/>
      <c r="G1940" s="232"/>
      <c r="H1940" s="231">
        <f t="shared" si="60"/>
        <v>0</v>
      </c>
      <c r="I1940" s="231">
        <f t="shared" si="61"/>
        <v>0</v>
      </c>
    </row>
    <row r="1941" spans="1:9" s="7" customFormat="1" hidden="1">
      <c r="A1941" s="1558"/>
      <c r="B1941" s="107"/>
      <c r="C1941" s="654"/>
      <c r="D1941" s="654"/>
      <c r="E1941" s="256"/>
      <c r="F1941" s="232"/>
      <c r="G1941" s="232"/>
      <c r="H1941" s="231">
        <f t="shared" si="60"/>
        <v>0</v>
      </c>
      <c r="I1941" s="231">
        <f t="shared" si="61"/>
        <v>0</v>
      </c>
    </row>
    <row r="1942" spans="1:9" s="7" customFormat="1" hidden="1">
      <c r="A1942" s="1558"/>
      <c r="B1942" s="107"/>
      <c r="C1942" s="654"/>
      <c r="D1942" s="654"/>
      <c r="E1942" s="256"/>
      <c r="F1942" s="232"/>
      <c r="G1942" s="232"/>
      <c r="H1942" s="231">
        <f t="shared" si="60"/>
        <v>0</v>
      </c>
      <c r="I1942" s="231">
        <f t="shared" si="61"/>
        <v>0</v>
      </c>
    </row>
    <row r="1943" spans="1:9" s="7" customFormat="1" hidden="1">
      <c r="A1943" s="1558"/>
      <c r="B1943" s="107"/>
      <c r="C1943" s="654"/>
      <c r="D1943" s="654"/>
      <c r="E1943" s="256"/>
      <c r="F1943" s="232"/>
      <c r="G1943" s="232"/>
      <c r="H1943" s="231">
        <f t="shared" si="60"/>
        <v>0</v>
      </c>
      <c r="I1943" s="231">
        <f t="shared" si="61"/>
        <v>0</v>
      </c>
    </row>
    <row r="1944" spans="1:9" s="7" customFormat="1" hidden="1">
      <c r="A1944" s="1558"/>
      <c r="B1944" s="107"/>
      <c r="C1944" s="654"/>
      <c r="D1944" s="654"/>
      <c r="E1944" s="256"/>
      <c r="F1944" s="232"/>
      <c r="G1944" s="232"/>
      <c r="H1944" s="231">
        <f t="shared" si="60"/>
        <v>0</v>
      </c>
      <c r="I1944" s="231">
        <f t="shared" si="61"/>
        <v>0</v>
      </c>
    </row>
    <row r="1945" spans="1:9" s="7" customFormat="1" hidden="1">
      <c r="A1945" s="1558"/>
      <c r="B1945" s="107"/>
      <c r="C1945" s="654"/>
      <c r="D1945" s="654"/>
      <c r="E1945" s="256"/>
      <c r="F1945" s="232"/>
      <c r="G1945" s="232"/>
      <c r="H1945" s="231">
        <f t="shared" si="60"/>
        <v>0</v>
      </c>
      <c r="I1945" s="231">
        <f t="shared" si="61"/>
        <v>0</v>
      </c>
    </row>
    <row r="1946" spans="1:9" s="7" customFormat="1" hidden="1">
      <c r="A1946" s="1558"/>
      <c r="B1946" s="107"/>
      <c r="C1946" s="256"/>
      <c r="D1946" s="256"/>
      <c r="E1946" s="256"/>
      <c r="F1946" s="232"/>
      <c r="G1946" s="232"/>
      <c r="H1946" s="231">
        <f t="shared" si="60"/>
        <v>0</v>
      </c>
      <c r="I1946" s="231">
        <f t="shared" si="61"/>
        <v>0</v>
      </c>
    </row>
    <row r="1947" spans="1:9" s="7" customFormat="1" hidden="1">
      <c r="A1947" s="1558"/>
      <c r="B1947" s="107"/>
      <c r="C1947" s="654"/>
      <c r="D1947" s="654"/>
      <c r="E1947" s="256"/>
      <c r="F1947" s="232"/>
      <c r="G1947" s="232"/>
      <c r="H1947" s="231">
        <f t="shared" si="60"/>
        <v>0</v>
      </c>
      <c r="I1947" s="231">
        <f t="shared" si="61"/>
        <v>0</v>
      </c>
    </row>
    <row r="1948" spans="1:9" s="7" customFormat="1" hidden="1">
      <c r="A1948" s="1558"/>
      <c r="B1948" s="107"/>
      <c r="C1948" s="654"/>
      <c r="D1948" s="654"/>
      <c r="E1948" s="256"/>
      <c r="F1948" s="232"/>
      <c r="G1948" s="232"/>
      <c r="H1948" s="231">
        <f t="shared" si="60"/>
        <v>0</v>
      </c>
      <c r="I1948" s="231">
        <f t="shared" si="61"/>
        <v>0</v>
      </c>
    </row>
    <row r="1949" spans="1:9" s="7" customFormat="1" hidden="1">
      <c r="A1949" s="1558"/>
      <c r="B1949" s="107"/>
      <c r="C1949" s="654"/>
      <c r="D1949" s="654"/>
      <c r="E1949" s="256"/>
      <c r="F1949" s="232"/>
      <c r="G1949" s="232"/>
      <c r="H1949" s="231">
        <f t="shared" si="60"/>
        <v>0</v>
      </c>
      <c r="I1949" s="231">
        <f t="shared" si="61"/>
        <v>0</v>
      </c>
    </row>
    <row r="1950" spans="1:9" s="7" customFormat="1" hidden="1">
      <c r="A1950" s="1558"/>
      <c r="B1950" s="107"/>
      <c r="C1950" s="654"/>
      <c r="D1950" s="654"/>
      <c r="E1950" s="256"/>
      <c r="F1950" s="232"/>
      <c r="G1950" s="232"/>
      <c r="H1950" s="231">
        <f t="shared" si="60"/>
        <v>0</v>
      </c>
      <c r="I1950" s="231">
        <f t="shared" si="61"/>
        <v>0</v>
      </c>
    </row>
    <row r="1951" spans="1:9" s="7" customFormat="1" hidden="1">
      <c r="A1951" s="1558"/>
      <c r="B1951" s="107"/>
      <c r="C1951" s="654"/>
      <c r="D1951" s="654"/>
      <c r="E1951" s="256"/>
      <c r="F1951" s="232"/>
      <c r="G1951" s="232"/>
      <c r="H1951" s="231">
        <f t="shared" si="60"/>
        <v>0</v>
      </c>
      <c r="I1951" s="231">
        <f t="shared" si="61"/>
        <v>0</v>
      </c>
    </row>
    <row r="1952" spans="1:9" s="7" customFormat="1" hidden="1">
      <c r="A1952" s="1558"/>
      <c r="B1952" s="107"/>
      <c r="C1952" s="654"/>
      <c r="D1952" s="654"/>
      <c r="E1952" s="256"/>
      <c r="F1952" s="232"/>
      <c r="G1952" s="232"/>
      <c r="H1952" s="231">
        <f t="shared" si="60"/>
        <v>0</v>
      </c>
      <c r="I1952" s="231">
        <f t="shared" si="61"/>
        <v>0</v>
      </c>
    </row>
    <row r="1953" spans="1:9" s="7" customFormat="1" hidden="1">
      <c r="A1953" s="1558"/>
      <c r="B1953" s="107"/>
      <c r="C1953" s="654"/>
      <c r="D1953" s="654"/>
      <c r="E1953" s="256"/>
      <c r="F1953" s="232"/>
      <c r="G1953" s="232"/>
      <c r="H1953" s="231">
        <f t="shared" si="60"/>
        <v>0</v>
      </c>
      <c r="I1953" s="231">
        <f t="shared" si="61"/>
        <v>0</v>
      </c>
    </row>
    <row r="1954" spans="1:9" s="7" customFormat="1" hidden="1">
      <c r="A1954" s="1558"/>
      <c r="B1954" s="107"/>
      <c r="C1954" s="654"/>
      <c r="D1954" s="654"/>
      <c r="E1954" s="256"/>
      <c r="F1954" s="232"/>
      <c r="G1954" s="232"/>
      <c r="H1954" s="231">
        <f t="shared" si="60"/>
        <v>0</v>
      </c>
      <c r="I1954" s="231">
        <f t="shared" si="61"/>
        <v>0</v>
      </c>
    </row>
    <row r="1955" spans="1:9" s="7" customFormat="1" hidden="1">
      <c r="A1955" s="1558"/>
      <c r="B1955" s="107"/>
      <c r="C1955" s="654"/>
      <c r="D1955" s="654"/>
      <c r="E1955" s="256"/>
      <c r="F1955" s="232"/>
      <c r="G1955" s="232"/>
      <c r="H1955" s="231">
        <f t="shared" si="60"/>
        <v>0</v>
      </c>
      <c r="I1955" s="231">
        <f t="shared" si="61"/>
        <v>0</v>
      </c>
    </row>
    <row r="1956" spans="1:9" s="7" customFormat="1" hidden="1">
      <c r="A1956" s="1558"/>
      <c r="B1956" s="107"/>
      <c r="C1956" s="654"/>
      <c r="D1956" s="654"/>
      <c r="E1956" s="256"/>
      <c r="F1956" s="232"/>
      <c r="G1956" s="232"/>
      <c r="H1956" s="231">
        <f t="shared" si="60"/>
        <v>0</v>
      </c>
      <c r="I1956" s="231">
        <f t="shared" si="61"/>
        <v>0</v>
      </c>
    </row>
    <row r="1957" spans="1:9" s="7" customFormat="1" hidden="1">
      <c r="A1957" s="1558"/>
      <c r="B1957" s="107"/>
      <c r="C1957" s="654"/>
      <c r="D1957" s="654"/>
      <c r="E1957" s="256"/>
      <c r="F1957" s="232"/>
      <c r="G1957" s="232"/>
      <c r="H1957" s="231">
        <f t="shared" si="60"/>
        <v>0</v>
      </c>
      <c r="I1957" s="231">
        <f t="shared" si="61"/>
        <v>0</v>
      </c>
    </row>
    <row r="1958" spans="1:9" s="7" customFormat="1" hidden="1">
      <c r="A1958" s="1558"/>
      <c r="B1958" s="227"/>
      <c r="C1958" s="256"/>
      <c r="D1958" s="256"/>
      <c r="E1958" s="256"/>
      <c r="F1958" s="232"/>
      <c r="G1958" s="232"/>
      <c r="H1958" s="231">
        <f t="shared" si="60"/>
        <v>0</v>
      </c>
      <c r="I1958" s="231">
        <f t="shared" si="61"/>
        <v>0</v>
      </c>
    </row>
    <row r="1959" spans="1:9" s="7" customFormat="1" hidden="1">
      <c r="A1959" s="1558"/>
      <c r="B1959" s="107"/>
      <c r="C1959" s="256"/>
      <c r="D1959" s="256"/>
      <c r="E1959" s="256"/>
      <c r="F1959" s="232"/>
      <c r="G1959" s="232"/>
      <c r="H1959" s="231">
        <f t="shared" si="60"/>
        <v>0</v>
      </c>
      <c r="I1959" s="231">
        <f t="shared" si="61"/>
        <v>0</v>
      </c>
    </row>
    <row r="1960" spans="1:9" s="7" customFormat="1" hidden="1">
      <c r="A1960" s="1554"/>
      <c r="B1960" s="273"/>
      <c r="C1960" s="682"/>
      <c r="D1960" s="682"/>
      <c r="E1960" s="275"/>
      <c r="F1960" s="232"/>
      <c r="G1960" s="232"/>
      <c r="H1960" s="231">
        <f t="shared" si="60"/>
        <v>0</v>
      </c>
      <c r="I1960" s="231">
        <f t="shared" si="61"/>
        <v>0</v>
      </c>
    </row>
    <row r="1961" spans="1:9" s="7" customFormat="1" ht="18" hidden="1" customHeight="1">
      <c r="A1961" s="1554"/>
      <c r="B1961" s="107"/>
      <c r="C1961" s="654"/>
      <c r="D1961" s="654"/>
      <c r="E1961" s="256"/>
      <c r="F1961" s="232"/>
      <c r="G1961" s="232"/>
      <c r="H1961" s="231">
        <f t="shared" si="60"/>
        <v>0</v>
      </c>
      <c r="I1961" s="231">
        <f t="shared" si="61"/>
        <v>0</v>
      </c>
    </row>
    <row r="1962" spans="1:9" s="7" customFormat="1" ht="18" hidden="1" customHeight="1">
      <c r="A1962" s="1554"/>
      <c r="B1962" s="107"/>
      <c r="C1962" s="654"/>
      <c r="D1962" s="654"/>
      <c r="E1962" s="256"/>
      <c r="F1962" s="232"/>
      <c r="G1962" s="232"/>
      <c r="H1962" s="231">
        <f t="shared" si="60"/>
        <v>0</v>
      </c>
      <c r="I1962" s="231">
        <f t="shared" si="61"/>
        <v>0</v>
      </c>
    </row>
    <row r="1963" spans="1:9" s="7" customFormat="1" ht="18" hidden="1" customHeight="1">
      <c r="A1963" s="1554"/>
      <c r="B1963" s="107"/>
      <c r="C1963" s="654"/>
      <c r="D1963" s="654"/>
      <c r="E1963" s="256"/>
      <c r="F1963" s="232"/>
      <c r="G1963" s="232"/>
      <c r="H1963" s="231">
        <f t="shared" si="60"/>
        <v>0</v>
      </c>
      <c r="I1963" s="231">
        <f t="shared" si="61"/>
        <v>0</v>
      </c>
    </row>
    <row r="1964" spans="1:9" s="7" customFormat="1" ht="18" hidden="1" customHeight="1">
      <c r="A1964" s="1554"/>
      <c r="B1964" s="107"/>
      <c r="C1964" s="654"/>
      <c r="D1964" s="654"/>
      <c r="E1964" s="256"/>
      <c r="F1964" s="232"/>
      <c r="G1964" s="232"/>
      <c r="H1964" s="231">
        <f t="shared" si="60"/>
        <v>0</v>
      </c>
      <c r="I1964" s="231">
        <f t="shared" si="61"/>
        <v>0</v>
      </c>
    </row>
    <row r="1965" spans="1:9" s="7" customFormat="1" ht="18" hidden="1" customHeight="1">
      <c r="A1965" s="1554"/>
      <c r="B1965" s="107"/>
      <c r="C1965" s="654"/>
      <c r="D1965" s="654"/>
      <c r="E1965" s="256"/>
      <c r="F1965" s="232"/>
      <c r="G1965" s="232"/>
      <c r="H1965" s="231">
        <f t="shared" si="60"/>
        <v>0</v>
      </c>
      <c r="I1965" s="231">
        <f t="shared" si="61"/>
        <v>0</v>
      </c>
    </row>
    <row r="1966" spans="1:9" s="7" customFormat="1" ht="18" hidden="1" customHeight="1">
      <c r="A1966" s="1554"/>
      <c r="B1966" s="107"/>
      <c r="C1966" s="654"/>
      <c r="D1966" s="654"/>
      <c r="E1966" s="256"/>
      <c r="F1966" s="232"/>
      <c r="G1966" s="232"/>
      <c r="H1966" s="231">
        <f t="shared" si="60"/>
        <v>0</v>
      </c>
      <c r="I1966" s="231">
        <f t="shared" si="61"/>
        <v>0</v>
      </c>
    </row>
    <row r="1967" spans="1:9" s="7" customFormat="1" ht="18" hidden="1" customHeight="1">
      <c r="A1967" s="1554"/>
      <c r="B1967" s="107"/>
      <c r="C1967" s="654"/>
      <c r="D1967" s="654"/>
      <c r="E1967" s="256"/>
      <c r="F1967" s="232"/>
      <c r="G1967" s="232"/>
      <c r="H1967" s="231">
        <f t="shared" si="60"/>
        <v>0</v>
      </c>
      <c r="I1967" s="231">
        <f t="shared" si="61"/>
        <v>0</v>
      </c>
    </row>
    <row r="1968" spans="1:9" s="7" customFormat="1" ht="18" hidden="1" customHeight="1">
      <c r="A1968" s="1554"/>
      <c r="B1968" s="107"/>
      <c r="C1968" s="654"/>
      <c r="D1968" s="654"/>
      <c r="E1968" s="256"/>
      <c r="F1968" s="232"/>
      <c r="G1968" s="232"/>
      <c r="H1968" s="231">
        <f t="shared" si="60"/>
        <v>0</v>
      </c>
      <c r="I1968" s="231">
        <f t="shared" si="61"/>
        <v>0</v>
      </c>
    </row>
    <row r="1969" spans="1:12" s="7" customFormat="1" ht="18" hidden="1" customHeight="1">
      <c r="A1969" s="1554"/>
      <c r="B1969" s="268"/>
      <c r="C1969" s="656"/>
      <c r="D1969" s="656"/>
      <c r="E1969" s="656"/>
      <c r="F1969" s="232"/>
      <c r="G1969" s="232"/>
      <c r="H1969" s="231">
        <f t="shared" si="60"/>
        <v>0</v>
      </c>
      <c r="I1969" s="231">
        <f t="shared" si="61"/>
        <v>0</v>
      </c>
    </row>
    <row r="1970" spans="1:12" s="93" customFormat="1">
      <c r="A1970" s="1566"/>
      <c r="B1970" s="209" t="s">
        <v>985</v>
      </c>
      <c r="C1970" s="581">
        <f>SUM(C1877:C1969)</f>
        <v>490473</v>
      </c>
      <c r="D1970" s="581">
        <f>SUM(D1877:D1969)</f>
        <v>437873</v>
      </c>
      <c r="E1970" s="581">
        <f>SUM(E1877:E1969)</f>
        <v>52600</v>
      </c>
      <c r="F1970" s="266">
        <f>SUM(F1877:F1901)</f>
        <v>0</v>
      </c>
      <c r="G1970" s="242">
        <f>SUM(G1877:G1901)</f>
        <v>0</v>
      </c>
      <c r="H1970" s="1497">
        <f t="shared" si="60"/>
        <v>0</v>
      </c>
      <c r="I1970" s="1497">
        <f t="shared" si="61"/>
        <v>980946</v>
      </c>
      <c r="J1970" s="1440"/>
      <c r="K1970" s="1490"/>
      <c r="L1970" s="1490"/>
    </row>
    <row r="1971" spans="1:12" ht="75">
      <c r="A1971" s="1566" t="s">
        <v>1170</v>
      </c>
      <c r="B1971" s="181" t="s">
        <v>772</v>
      </c>
      <c r="C1971" s="644">
        <v>91200</v>
      </c>
      <c r="D1971" s="589">
        <v>91200</v>
      </c>
      <c r="E1971" s="644"/>
      <c r="F1971" s="237"/>
      <c r="G1971" s="237"/>
      <c r="H1971" s="1497">
        <f t="shared" si="60"/>
        <v>0</v>
      </c>
      <c r="I1971" s="1497">
        <f t="shared" si="61"/>
        <v>182400</v>
      </c>
      <c r="J1971" s="1440"/>
      <c r="K1971" s="1490"/>
      <c r="L1971" s="1490"/>
    </row>
    <row r="1972" spans="1:12" ht="37.5">
      <c r="A1972" s="1566"/>
      <c r="B1972" s="369" t="s">
        <v>1273</v>
      </c>
      <c r="C1972" s="654">
        <v>309643</v>
      </c>
      <c r="D1972" s="654">
        <v>309643</v>
      </c>
      <c r="E1972" s="256"/>
      <c r="F1972" s="237"/>
      <c r="G1972" s="237"/>
      <c r="H1972" s="1497">
        <f t="shared" si="60"/>
        <v>0</v>
      </c>
      <c r="I1972" s="1497">
        <f t="shared" si="61"/>
        <v>619286</v>
      </c>
      <c r="J1972" s="1440"/>
      <c r="K1972" s="1490"/>
      <c r="L1972" s="1490"/>
    </row>
    <row r="1973" spans="1:12" hidden="1">
      <c r="A1973" s="1566"/>
      <c r="B1973" s="562"/>
      <c r="C1973" s="719"/>
      <c r="D1973" s="719"/>
      <c r="E1973" s="720"/>
      <c r="F1973" s="237"/>
      <c r="G1973" s="237"/>
      <c r="H1973" s="231">
        <f t="shared" si="60"/>
        <v>0</v>
      </c>
      <c r="I1973" s="231">
        <f t="shared" si="61"/>
        <v>0</v>
      </c>
    </row>
    <row r="1974" spans="1:12" hidden="1">
      <c r="A1974" s="1566"/>
      <c r="B1974" s="562"/>
      <c r="C1974" s="719"/>
      <c r="D1974" s="719"/>
      <c r="E1974" s="720"/>
      <c r="F1974" s="237"/>
      <c r="G1974" s="237"/>
      <c r="H1974" s="231">
        <f t="shared" si="60"/>
        <v>0</v>
      </c>
      <c r="I1974" s="231">
        <f t="shared" si="61"/>
        <v>0</v>
      </c>
    </row>
    <row r="1975" spans="1:12" hidden="1">
      <c r="A1975" s="1566"/>
      <c r="B1975" s="107"/>
      <c r="C1975" s="654"/>
      <c r="D1975" s="654"/>
      <c r="E1975" s="256"/>
      <c r="F1975" s="237"/>
      <c r="G1975" s="237"/>
      <c r="H1975" s="231">
        <f t="shared" si="60"/>
        <v>0</v>
      </c>
      <c r="I1975" s="231">
        <f t="shared" si="61"/>
        <v>0</v>
      </c>
    </row>
    <row r="1976" spans="1:12" hidden="1">
      <c r="A1976" s="1566"/>
      <c r="B1976" s="107"/>
      <c r="C1976" s="510"/>
      <c r="D1976" s="511"/>
      <c r="E1976" s="510"/>
      <c r="F1976" s="237"/>
      <c r="G1976" s="237"/>
      <c r="H1976" s="231">
        <f t="shared" si="60"/>
        <v>0</v>
      </c>
      <c r="I1976" s="231">
        <f t="shared" si="61"/>
        <v>0</v>
      </c>
    </row>
    <row r="1977" spans="1:12" hidden="1">
      <c r="A1977" s="1566"/>
      <c r="B1977" s="107"/>
      <c r="C1977" s="257"/>
      <c r="D1977" s="257"/>
      <c r="E1977" s="257"/>
      <c r="F1977" s="237"/>
      <c r="G1977" s="237"/>
      <c r="H1977" s="231">
        <f t="shared" si="60"/>
        <v>0</v>
      </c>
      <c r="I1977" s="231">
        <f t="shared" si="61"/>
        <v>0</v>
      </c>
    </row>
    <row r="1978" spans="1:12" hidden="1">
      <c r="A1978" s="1566"/>
      <c r="B1978" s="107"/>
      <c r="C1978" s="257"/>
      <c r="D1978" s="257"/>
      <c r="E1978" s="257"/>
      <c r="F1978" s="237"/>
      <c r="G1978" s="237"/>
      <c r="H1978" s="231">
        <f t="shared" si="60"/>
        <v>0</v>
      </c>
      <c r="I1978" s="231">
        <f t="shared" si="61"/>
        <v>0</v>
      </c>
    </row>
    <row r="1979" spans="1:12" hidden="1">
      <c r="A1979" s="1566"/>
      <c r="B1979" s="107"/>
      <c r="C1979" s="257"/>
      <c r="D1979" s="257"/>
      <c r="E1979" s="257"/>
      <c r="F1979" s="237"/>
      <c r="G1979" s="237"/>
      <c r="H1979" s="231">
        <f t="shared" si="60"/>
        <v>0</v>
      </c>
      <c r="I1979" s="231">
        <f t="shared" si="61"/>
        <v>0</v>
      </c>
    </row>
    <row r="1980" spans="1:12" hidden="1">
      <c r="A1980" s="1566"/>
      <c r="B1980" s="107"/>
      <c r="C1980" s="257"/>
      <c r="D1980" s="257"/>
      <c r="E1980" s="257"/>
      <c r="F1980" s="237"/>
      <c r="G1980" s="237"/>
      <c r="H1980" s="231">
        <f t="shared" si="60"/>
        <v>0</v>
      </c>
      <c r="I1980" s="231">
        <f t="shared" si="61"/>
        <v>0</v>
      </c>
    </row>
    <row r="1981" spans="1:12" hidden="1">
      <c r="A1981" s="1566"/>
      <c r="B1981" s="107"/>
      <c r="C1981" s="257"/>
      <c r="D1981" s="257"/>
      <c r="E1981" s="257"/>
      <c r="F1981" s="237"/>
      <c r="G1981" s="237"/>
      <c r="H1981" s="231">
        <f t="shared" si="60"/>
        <v>0</v>
      </c>
      <c r="I1981" s="231">
        <f t="shared" si="61"/>
        <v>0</v>
      </c>
    </row>
    <row r="1982" spans="1:12" hidden="1">
      <c r="A1982" s="1566"/>
      <c r="B1982" s="107"/>
      <c r="C1982" s="257"/>
      <c r="D1982" s="257"/>
      <c r="E1982" s="257"/>
      <c r="F1982" s="237"/>
      <c r="G1982" s="237"/>
      <c r="H1982" s="231">
        <f t="shared" si="60"/>
        <v>0</v>
      </c>
      <c r="I1982" s="231">
        <f t="shared" si="61"/>
        <v>0</v>
      </c>
    </row>
    <row r="1983" spans="1:12" hidden="1">
      <c r="A1983" s="1566"/>
      <c r="B1983" s="107"/>
      <c r="C1983" s="256"/>
      <c r="D1983" s="256"/>
      <c r="E1983" s="256"/>
      <c r="F1983" s="237"/>
      <c r="G1983" s="237"/>
      <c r="H1983" s="231">
        <f t="shared" si="60"/>
        <v>0</v>
      </c>
      <c r="I1983" s="231">
        <f t="shared" si="61"/>
        <v>0</v>
      </c>
    </row>
    <row r="1984" spans="1:12" hidden="1">
      <c r="A1984" s="1566"/>
      <c r="B1984" s="107"/>
      <c r="C1984" s="256"/>
      <c r="D1984" s="256"/>
      <c r="E1984" s="256"/>
      <c r="F1984" s="237"/>
      <c r="G1984" s="237"/>
      <c r="H1984" s="231">
        <f t="shared" si="60"/>
        <v>0</v>
      </c>
      <c r="I1984" s="231">
        <f t="shared" si="61"/>
        <v>0</v>
      </c>
    </row>
    <row r="1985" spans="1:9" hidden="1">
      <c r="A1985" s="1566"/>
      <c r="B1985" s="343"/>
      <c r="C1985" s="666"/>
      <c r="D1985" s="666"/>
      <c r="E1985" s="667"/>
      <c r="F1985" s="237"/>
      <c r="G1985" s="237"/>
      <c r="H1985" s="231">
        <f t="shared" si="60"/>
        <v>0</v>
      </c>
      <c r="I1985" s="231">
        <f t="shared" si="61"/>
        <v>0</v>
      </c>
    </row>
    <row r="1986" spans="1:9" hidden="1">
      <c r="A1986" s="1566"/>
      <c r="B1986" s="343"/>
      <c r="C1986" s="666"/>
      <c r="D1986" s="666"/>
      <c r="E1986" s="667"/>
      <c r="F1986" s="237"/>
      <c r="G1986" s="237"/>
      <c r="H1986" s="231">
        <f t="shared" si="60"/>
        <v>0</v>
      </c>
      <c r="I1986" s="231">
        <f t="shared" si="61"/>
        <v>0</v>
      </c>
    </row>
    <row r="1987" spans="1:9" hidden="1">
      <c r="A1987" s="1566"/>
      <c r="B1987" s="343"/>
      <c r="C1987" s="666"/>
      <c r="D1987" s="666"/>
      <c r="E1987" s="667"/>
      <c r="F1987" s="237"/>
      <c r="G1987" s="237"/>
      <c r="H1987" s="231">
        <f t="shared" si="60"/>
        <v>0</v>
      </c>
      <c r="I1987" s="231">
        <f t="shared" si="61"/>
        <v>0</v>
      </c>
    </row>
    <row r="1988" spans="1:9" s="7" customFormat="1" hidden="1">
      <c r="A1988" s="1558"/>
      <c r="B1988" s="343"/>
      <c r="C1988" s="666"/>
      <c r="D1988" s="666"/>
      <c r="E1988" s="667"/>
      <c r="F1988" s="237"/>
      <c r="G1988" s="237"/>
      <c r="H1988" s="231">
        <f t="shared" si="60"/>
        <v>0</v>
      </c>
      <c r="I1988" s="231">
        <f t="shared" si="61"/>
        <v>0</v>
      </c>
    </row>
    <row r="1989" spans="1:9" s="7" customFormat="1" hidden="1">
      <c r="A1989" s="1558"/>
      <c r="B1989" s="359"/>
      <c r="C1989" s="660"/>
      <c r="D1989" s="660"/>
      <c r="E1989" s="660"/>
      <c r="F1989" s="237"/>
      <c r="G1989" s="237"/>
      <c r="H1989" s="231">
        <f t="shared" si="60"/>
        <v>0</v>
      </c>
      <c r="I1989" s="231">
        <f t="shared" si="61"/>
        <v>0</v>
      </c>
    </row>
    <row r="1990" spans="1:9" s="7" customFormat="1" hidden="1">
      <c r="A1990" s="1558"/>
      <c r="B1990" s="359"/>
      <c r="C1990" s="660"/>
      <c r="D1990" s="660"/>
      <c r="E1990" s="660"/>
      <c r="F1990" s="237"/>
      <c r="G1990" s="237"/>
      <c r="H1990" s="231">
        <f t="shared" si="60"/>
        <v>0</v>
      </c>
      <c r="I1990" s="231">
        <f t="shared" si="61"/>
        <v>0</v>
      </c>
    </row>
    <row r="1991" spans="1:9" s="7" customFormat="1" hidden="1">
      <c r="A1991" s="1558"/>
      <c r="B1991" s="359"/>
      <c r="C1991" s="660"/>
      <c r="D1991" s="660"/>
      <c r="E1991" s="660"/>
      <c r="F1991" s="237"/>
      <c r="G1991" s="237"/>
      <c r="H1991" s="231">
        <f t="shared" si="60"/>
        <v>0</v>
      </c>
      <c r="I1991" s="231">
        <f t="shared" si="61"/>
        <v>0</v>
      </c>
    </row>
    <row r="1992" spans="1:9" s="7" customFormat="1" hidden="1">
      <c r="A1992" s="1558"/>
      <c r="B1992" s="359"/>
      <c r="C1992" s="660"/>
      <c r="D1992" s="660"/>
      <c r="E1992" s="660"/>
      <c r="F1992" s="237"/>
      <c r="G1992" s="237"/>
      <c r="H1992" s="231">
        <f t="shared" si="60"/>
        <v>0</v>
      </c>
      <c r="I1992" s="231">
        <f t="shared" si="61"/>
        <v>0</v>
      </c>
    </row>
    <row r="1993" spans="1:9" s="7" customFormat="1" hidden="1">
      <c r="A1993" s="1558"/>
      <c r="B1993" s="369"/>
      <c r="C1993" s="661"/>
      <c r="D1993" s="661"/>
      <c r="E1993" s="662"/>
      <c r="F1993" s="237"/>
      <c r="G1993" s="237"/>
      <c r="H1993" s="231">
        <f t="shared" ref="H1993:H2056" si="62">E1993+D1993-C1993</f>
        <v>0</v>
      </c>
      <c r="I1993" s="231">
        <f t="shared" ref="I1993:I2056" si="63">SUM(C1993:E1993)</f>
        <v>0</v>
      </c>
    </row>
    <row r="1994" spans="1:9" s="7" customFormat="1" hidden="1">
      <c r="A1994" s="1558"/>
      <c r="B1994" s="369"/>
      <c r="C1994" s="661"/>
      <c r="D1994" s="661"/>
      <c r="E1994" s="662"/>
      <c r="F1994" s="237"/>
      <c r="G1994" s="237"/>
      <c r="H1994" s="231">
        <f t="shared" si="62"/>
        <v>0</v>
      </c>
      <c r="I1994" s="231">
        <f t="shared" si="63"/>
        <v>0</v>
      </c>
    </row>
    <row r="1995" spans="1:9" s="7" customFormat="1" hidden="1">
      <c r="A1995" s="1558"/>
      <c r="B1995" s="369"/>
      <c r="C1995" s="661"/>
      <c r="D1995" s="661"/>
      <c r="E1995" s="662"/>
      <c r="F1995" s="237"/>
      <c r="G1995" s="237"/>
      <c r="H1995" s="231">
        <f t="shared" si="62"/>
        <v>0</v>
      </c>
      <c r="I1995" s="231">
        <f t="shared" si="63"/>
        <v>0</v>
      </c>
    </row>
    <row r="1996" spans="1:9" s="7" customFormat="1" hidden="1">
      <c r="A1996" s="1558"/>
      <c r="B1996" s="369"/>
      <c r="C1996" s="661"/>
      <c r="D1996" s="661"/>
      <c r="E1996" s="662"/>
      <c r="F1996" s="237"/>
      <c r="G1996" s="237"/>
      <c r="H1996" s="231">
        <f t="shared" si="62"/>
        <v>0</v>
      </c>
      <c r="I1996" s="231">
        <f t="shared" si="63"/>
        <v>0</v>
      </c>
    </row>
    <row r="1997" spans="1:9" s="7" customFormat="1" hidden="1">
      <c r="A1997" s="1558"/>
      <c r="B1997" s="369"/>
      <c r="C1997" s="661"/>
      <c r="D1997" s="661"/>
      <c r="E1997" s="662"/>
      <c r="F1997" s="237"/>
      <c r="G1997" s="237"/>
      <c r="H1997" s="231">
        <f t="shared" si="62"/>
        <v>0</v>
      </c>
      <c r="I1997" s="231">
        <f t="shared" si="63"/>
        <v>0</v>
      </c>
    </row>
    <row r="1998" spans="1:9" s="7" customFormat="1" hidden="1">
      <c r="A1998" s="1558"/>
      <c r="B1998" s="369"/>
      <c r="C1998" s="661"/>
      <c r="D1998" s="661"/>
      <c r="E1998" s="662"/>
      <c r="F1998" s="237"/>
      <c r="G1998" s="237"/>
      <c r="H1998" s="231">
        <f t="shared" si="62"/>
        <v>0</v>
      </c>
      <c r="I1998" s="231">
        <f t="shared" si="63"/>
        <v>0</v>
      </c>
    </row>
    <row r="1999" spans="1:9" s="7" customFormat="1" hidden="1">
      <c r="A1999" s="1558"/>
      <c r="B1999" s="369"/>
      <c r="C1999" s="661"/>
      <c r="D1999" s="661"/>
      <c r="E1999" s="662"/>
      <c r="F1999" s="237"/>
      <c r="G1999" s="237"/>
      <c r="H1999" s="231">
        <f t="shared" si="62"/>
        <v>0</v>
      </c>
      <c r="I1999" s="231">
        <f t="shared" si="63"/>
        <v>0</v>
      </c>
    </row>
    <row r="2000" spans="1:9" s="7" customFormat="1" hidden="1">
      <c r="A2000" s="1558"/>
      <c r="B2000" s="369"/>
      <c r="C2000" s="661"/>
      <c r="D2000" s="661"/>
      <c r="E2000" s="662"/>
      <c r="F2000" s="237"/>
      <c r="G2000" s="237"/>
      <c r="H2000" s="231">
        <f t="shared" si="62"/>
        <v>0</v>
      </c>
      <c r="I2000" s="231">
        <f t="shared" si="63"/>
        <v>0</v>
      </c>
    </row>
    <row r="2001" spans="1:9" s="7" customFormat="1" hidden="1">
      <c r="A2001" s="1558"/>
      <c r="B2001" s="369"/>
      <c r="C2001" s="661"/>
      <c r="D2001" s="661"/>
      <c r="E2001" s="662"/>
      <c r="F2001" s="237"/>
      <c r="G2001" s="237"/>
      <c r="H2001" s="231">
        <f t="shared" si="62"/>
        <v>0</v>
      </c>
      <c r="I2001" s="231">
        <f t="shared" si="63"/>
        <v>0</v>
      </c>
    </row>
    <row r="2002" spans="1:9" s="7" customFormat="1" hidden="1">
      <c r="A2002" s="1558"/>
      <c r="B2002" s="369"/>
      <c r="C2002" s="661"/>
      <c r="D2002" s="661"/>
      <c r="E2002" s="662"/>
      <c r="F2002" s="237"/>
      <c r="G2002" s="237"/>
      <c r="H2002" s="231">
        <f t="shared" si="62"/>
        <v>0</v>
      </c>
      <c r="I2002" s="231">
        <f t="shared" si="63"/>
        <v>0</v>
      </c>
    </row>
    <row r="2003" spans="1:9" s="7" customFormat="1" hidden="1">
      <c r="A2003" s="1558"/>
      <c r="B2003" s="369"/>
      <c r="C2003" s="661"/>
      <c r="D2003" s="661"/>
      <c r="E2003" s="662"/>
      <c r="F2003" s="237"/>
      <c r="G2003" s="237"/>
      <c r="H2003" s="231">
        <f t="shared" si="62"/>
        <v>0</v>
      </c>
      <c r="I2003" s="231">
        <f t="shared" si="63"/>
        <v>0</v>
      </c>
    </row>
    <row r="2004" spans="1:9" s="7" customFormat="1" hidden="1">
      <c r="A2004" s="1558"/>
      <c r="B2004" s="369"/>
      <c r="C2004" s="661"/>
      <c r="D2004" s="661"/>
      <c r="E2004" s="662"/>
      <c r="F2004" s="237"/>
      <c r="G2004" s="237"/>
      <c r="H2004" s="231">
        <f t="shared" si="62"/>
        <v>0</v>
      </c>
      <c r="I2004" s="231">
        <f t="shared" si="63"/>
        <v>0</v>
      </c>
    </row>
    <row r="2005" spans="1:9" s="7" customFormat="1" hidden="1">
      <c r="A2005" s="1558"/>
      <c r="B2005" s="369"/>
      <c r="C2005" s="661"/>
      <c r="D2005" s="661"/>
      <c r="E2005" s="662"/>
      <c r="F2005" s="237"/>
      <c r="G2005" s="237"/>
      <c r="H2005" s="231">
        <f t="shared" si="62"/>
        <v>0</v>
      </c>
      <c r="I2005" s="231">
        <f t="shared" si="63"/>
        <v>0</v>
      </c>
    </row>
    <row r="2006" spans="1:9" s="7" customFormat="1" hidden="1">
      <c r="A2006" s="1554"/>
      <c r="B2006" s="369"/>
      <c r="C2006" s="661"/>
      <c r="D2006" s="661"/>
      <c r="E2006" s="662"/>
      <c r="F2006" s="237"/>
      <c r="G2006" s="237"/>
      <c r="H2006" s="231">
        <f t="shared" si="62"/>
        <v>0</v>
      </c>
      <c r="I2006" s="231">
        <f t="shared" si="63"/>
        <v>0</v>
      </c>
    </row>
    <row r="2007" spans="1:9" s="7" customFormat="1" hidden="1">
      <c r="A2007" s="1554"/>
      <c r="B2007" s="369"/>
      <c r="C2007" s="661"/>
      <c r="D2007" s="661"/>
      <c r="E2007" s="662"/>
      <c r="F2007" s="237"/>
      <c r="G2007" s="237"/>
      <c r="H2007" s="231">
        <f t="shared" si="62"/>
        <v>0</v>
      </c>
      <c r="I2007" s="231">
        <f t="shared" si="63"/>
        <v>0</v>
      </c>
    </row>
    <row r="2008" spans="1:9" s="7" customFormat="1" hidden="1">
      <c r="A2008" s="1554"/>
      <c r="B2008" s="369"/>
      <c r="C2008" s="661"/>
      <c r="D2008" s="661"/>
      <c r="E2008" s="662"/>
      <c r="F2008" s="237"/>
      <c r="G2008" s="237"/>
      <c r="H2008" s="231">
        <f t="shared" si="62"/>
        <v>0</v>
      </c>
      <c r="I2008" s="231">
        <f t="shared" si="63"/>
        <v>0</v>
      </c>
    </row>
    <row r="2009" spans="1:9" s="7" customFormat="1" hidden="1">
      <c r="A2009" s="1554"/>
      <c r="B2009" s="369"/>
      <c r="C2009" s="661"/>
      <c r="D2009" s="661"/>
      <c r="E2009" s="662"/>
      <c r="F2009" s="237"/>
      <c r="G2009" s="237"/>
      <c r="H2009" s="231">
        <f t="shared" si="62"/>
        <v>0</v>
      </c>
      <c r="I2009" s="231">
        <f t="shared" si="63"/>
        <v>0</v>
      </c>
    </row>
    <row r="2010" spans="1:9" s="7" customFormat="1" hidden="1">
      <c r="A2010" s="1554"/>
      <c r="B2010" s="385"/>
      <c r="C2010" s="638"/>
      <c r="D2010" s="638"/>
      <c r="E2010" s="639"/>
      <c r="F2010" s="237"/>
      <c r="G2010" s="237"/>
      <c r="H2010" s="231">
        <f t="shared" si="62"/>
        <v>0</v>
      </c>
      <c r="I2010" s="231">
        <f t="shared" si="63"/>
        <v>0</v>
      </c>
    </row>
    <row r="2011" spans="1:9" s="7" customFormat="1" hidden="1">
      <c r="A2011" s="1554"/>
      <c r="B2011" s="385"/>
      <c r="C2011" s="638"/>
      <c r="D2011" s="638"/>
      <c r="E2011" s="639"/>
      <c r="F2011" s="237"/>
      <c r="G2011" s="237"/>
      <c r="H2011" s="231">
        <f t="shared" si="62"/>
        <v>0</v>
      </c>
      <c r="I2011" s="231">
        <f t="shared" si="63"/>
        <v>0</v>
      </c>
    </row>
    <row r="2012" spans="1:9" s="7" customFormat="1" hidden="1">
      <c r="A2012" s="1554"/>
      <c r="B2012" s="385"/>
      <c r="C2012" s="638"/>
      <c r="D2012" s="638"/>
      <c r="E2012" s="639"/>
      <c r="F2012" s="237"/>
      <c r="G2012" s="237"/>
      <c r="H2012" s="231">
        <f t="shared" si="62"/>
        <v>0</v>
      </c>
      <c r="I2012" s="231">
        <f t="shared" si="63"/>
        <v>0</v>
      </c>
    </row>
    <row r="2013" spans="1:9" s="7" customFormat="1" hidden="1">
      <c r="A2013" s="1554"/>
      <c r="B2013" s="385"/>
      <c r="C2013" s="638"/>
      <c r="D2013" s="638"/>
      <c r="E2013" s="639"/>
      <c r="F2013" s="237"/>
      <c r="G2013" s="237"/>
      <c r="H2013" s="231">
        <f t="shared" si="62"/>
        <v>0</v>
      </c>
      <c r="I2013" s="231">
        <f t="shared" si="63"/>
        <v>0</v>
      </c>
    </row>
    <row r="2014" spans="1:9" s="7" customFormat="1" hidden="1">
      <c r="A2014" s="1554"/>
      <c r="B2014" s="385"/>
      <c r="C2014" s="638"/>
      <c r="D2014" s="638"/>
      <c r="E2014" s="639"/>
      <c r="F2014" s="237"/>
      <c r="G2014" s="237"/>
      <c r="H2014" s="231">
        <f t="shared" si="62"/>
        <v>0</v>
      </c>
      <c r="I2014" s="231">
        <f t="shared" si="63"/>
        <v>0</v>
      </c>
    </row>
    <row r="2015" spans="1:9" s="7" customFormat="1" hidden="1">
      <c r="A2015" s="1554"/>
      <c r="B2015" s="385"/>
      <c r="C2015" s="638"/>
      <c r="D2015" s="638"/>
      <c r="E2015" s="639"/>
      <c r="F2015" s="237"/>
      <c r="G2015" s="237"/>
      <c r="H2015" s="231">
        <f t="shared" si="62"/>
        <v>0</v>
      </c>
      <c r="I2015" s="231">
        <f t="shared" si="63"/>
        <v>0</v>
      </c>
    </row>
    <row r="2016" spans="1:9" s="7" customFormat="1" hidden="1">
      <c r="A2016" s="1554"/>
      <c r="B2016" s="385"/>
      <c r="C2016" s="638"/>
      <c r="D2016" s="638"/>
      <c r="E2016" s="639"/>
      <c r="F2016" s="237"/>
      <c r="G2016" s="237"/>
      <c r="H2016" s="231">
        <f t="shared" si="62"/>
        <v>0</v>
      </c>
      <c r="I2016" s="231">
        <f t="shared" si="63"/>
        <v>0</v>
      </c>
    </row>
    <row r="2017" spans="1:9" s="7" customFormat="1" hidden="1">
      <c r="A2017" s="1554"/>
      <c r="B2017" s="385"/>
      <c r="C2017" s="638"/>
      <c r="D2017" s="638"/>
      <c r="E2017" s="639"/>
      <c r="F2017" s="237"/>
      <c r="G2017" s="237"/>
      <c r="H2017" s="231">
        <f t="shared" si="62"/>
        <v>0</v>
      </c>
      <c r="I2017" s="231">
        <f t="shared" si="63"/>
        <v>0</v>
      </c>
    </row>
    <row r="2018" spans="1:9" s="7" customFormat="1" hidden="1">
      <c r="A2018" s="1554"/>
      <c r="B2018" s="385"/>
      <c r="C2018" s="638"/>
      <c r="D2018" s="638"/>
      <c r="E2018" s="639"/>
      <c r="F2018" s="237"/>
      <c r="G2018" s="237"/>
      <c r="H2018" s="231">
        <f t="shared" si="62"/>
        <v>0</v>
      </c>
      <c r="I2018" s="231">
        <f t="shared" si="63"/>
        <v>0</v>
      </c>
    </row>
    <row r="2019" spans="1:9" s="7" customFormat="1" hidden="1">
      <c r="A2019" s="1554"/>
      <c r="B2019" s="385"/>
      <c r="C2019" s="638"/>
      <c r="D2019" s="638"/>
      <c r="E2019" s="639"/>
      <c r="F2019" s="237"/>
      <c r="G2019" s="237"/>
      <c r="H2019" s="231">
        <f t="shared" si="62"/>
        <v>0</v>
      </c>
      <c r="I2019" s="231">
        <f t="shared" si="63"/>
        <v>0</v>
      </c>
    </row>
    <row r="2020" spans="1:9" s="7" customFormat="1" hidden="1">
      <c r="A2020" s="1554"/>
      <c r="B2020" s="385"/>
      <c r="C2020" s="638"/>
      <c r="D2020" s="638"/>
      <c r="E2020" s="639"/>
      <c r="F2020" s="237"/>
      <c r="G2020" s="237"/>
      <c r="H2020" s="231">
        <f t="shared" si="62"/>
        <v>0</v>
      </c>
      <c r="I2020" s="231">
        <f t="shared" si="63"/>
        <v>0</v>
      </c>
    </row>
    <row r="2021" spans="1:9" s="7" customFormat="1" hidden="1">
      <c r="A2021" s="1554"/>
      <c r="B2021" s="385"/>
      <c r="C2021" s="638"/>
      <c r="D2021" s="638"/>
      <c r="E2021" s="639"/>
      <c r="F2021" s="237"/>
      <c r="G2021" s="237"/>
      <c r="H2021" s="231">
        <f t="shared" si="62"/>
        <v>0</v>
      </c>
      <c r="I2021" s="231">
        <f t="shared" si="63"/>
        <v>0</v>
      </c>
    </row>
    <row r="2022" spans="1:9" s="7" customFormat="1" hidden="1">
      <c r="A2022" s="1554"/>
      <c r="B2022" s="385"/>
      <c r="C2022" s="638"/>
      <c r="D2022" s="638"/>
      <c r="E2022" s="639"/>
      <c r="F2022" s="237"/>
      <c r="G2022" s="237"/>
      <c r="H2022" s="231">
        <f t="shared" si="62"/>
        <v>0</v>
      </c>
      <c r="I2022" s="231">
        <f t="shared" si="63"/>
        <v>0</v>
      </c>
    </row>
    <row r="2023" spans="1:9" s="7" customFormat="1" hidden="1">
      <c r="A2023" s="1554"/>
      <c r="B2023" s="385"/>
      <c r="C2023" s="638"/>
      <c r="D2023" s="638"/>
      <c r="E2023" s="639"/>
      <c r="F2023" s="237"/>
      <c r="G2023" s="237"/>
      <c r="H2023" s="231">
        <f t="shared" si="62"/>
        <v>0</v>
      </c>
      <c r="I2023" s="231">
        <f t="shared" si="63"/>
        <v>0</v>
      </c>
    </row>
    <row r="2024" spans="1:9" s="7" customFormat="1" hidden="1">
      <c r="A2024" s="1554"/>
      <c r="B2024" s="387"/>
      <c r="C2024" s="721"/>
      <c r="D2024" s="721"/>
      <c r="E2024" s="722"/>
      <c r="F2024" s="237"/>
      <c r="G2024" s="237"/>
      <c r="H2024" s="231">
        <f t="shared" si="62"/>
        <v>0</v>
      </c>
      <c r="I2024" s="231">
        <f t="shared" si="63"/>
        <v>0</v>
      </c>
    </row>
    <row r="2025" spans="1:9" s="7" customFormat="1" hidden="1">
      <c r="A2025" s="1554"/>
      <c r="B2025" s="385"/>
      <c r="C2025" s="638"/>
      <c r="D2025" s="638"/>
      <c r="E2025" s="639"/>
      <c r="F2025" s="237"/>
      <c r="G2025" s="237"/>
      <c r="H2025" s="231">
        <f t="shared" si="62"/>
        <v>0</v>
      </c>
      <c r="I2025" s="231">
        <f t="shared" si="63"/>
        <v>0</v>
      </c>
    </row>
    <row r="2026" spans="1:9" s="7" customFormat="1" hidden="1">
      <c r="A2026" s="1554"/>
      <c r="B2026" s="385"/>
      <c r="C2026" s="638"/>
      <c r="D2026" s="638"/>
      <c r="E2026" s="639"/>
      <c r="F2026" s="237"/>
      <c r="G2026" s="237"/>
      <c r="H2026" s="231">
        <f t="shared" si="62"/>
        <v>0</v>
      </c>
      <c r="I2026" s="231">
        <f t="shared" si="63"/>
        <v>0</v>
      </c>
    </row>
    <row r="2027" spans="1:9" s="7" customFormat="1" hidden="1">
      <c r="A2027" s="1554"/>
      <c r="B2027" s="385"/>
      <c r="C2027" s="638"/>
      <c r="D2027" s="638"/>
      <c r="E2027" s="639"/>
      <c r="F2027" s="237"/>
      <c r="G2027" s="237"/>
      <c r="H2027" s="231">
        <f t="shared" si="62"/>
        <v>0</v>
      </c>
      <c r="I2027" s="231">
        <f t="shared" si="63"/>
        <v>0</v>
      </c>
    </row>
    <row r="2028" spans="1:9" s="7" customFormat="1" hidden="1">
      <c r="A2028" s="1554"/>
      <c r="B2028" s="385"/>
      <c r="C2028" s="638"/>
      <c r="D2028" s="638"/>
      <c r="E2028" s="639"/>
      <c r="F2028" s="237"/>
      <c r="G2028" s="237"/>
      <c r="H2028" s="231">
        <f t="shared" si="62"/>
        <v>0</v>
      </c>
      <c r="I2028" s="231">
        <f t="shared" si="63"/>
        <v>0</v>
      </c>
    </row>
    <row r="2029" spans="1:9" s="7" customFormat="1" hidden="1">
      <c r="A2029" s="1554"/>
      <c r="B2029" s="385"/>
      <c r="C2029" s="638"/>
      <c r="D2029" s="638"/>
      <c r="E2029" s="639"/>
      <c r="F2029" s="237"/>
      <c r="G2029" s="237"/>
      <c r="H2029" s="231">
        <f t="shared" si="62"/>
        <v>0</v>
      </c>
      <c r="I2029" s="231">
        <f t="shared" si="63"/>
        <v>0</v>
      </c>
    </row>
    <row r="2030" spans="1:9" s="7" customFormat="1" hidden="1">
      <c r="A2030" s="1554"/>
      <c r="B2030" s="385"/>
      <c r="C2030" s="638"/>
      <c r="D2030" s="638"/>
      <c r="E2030" s="639"/>
      <c r="F2030" s="237"/>
      <c r="G2030" s="237"/>
      <c r="H2030" s="231">
        <f t="shared" si="62"/>
        <v>0</v>
      </c>
      <c r="I2030" s="231">
        <f t="shared" si="63"/>
        <v>0</v>
      </c>
    </row>
    <row r="2031" spans="1:9" s="7" customFormat="1" hidden="1">
      <c r="A2031" s="1554"/>
      <c r="B2031" s="385"/>
      <c r="C2031" s="638"/>
      <c r="D2031" s="638"/>
      <c r="E2031" s="639"/>
      <c r="F2031" s="237"/>
      <c r="G2031" s="237"/>
      <c r="H2031" s="231">
        <f t="shared" si="62"/>
        <v>0</v>
      </c>
      <c r="I2031" s="231">
        <f t="shared" si="63"/>
        <v>0</v>
      </c>
    </row>
    <row r="2032" spans="1:9" s="7" customFormat="1" hidden="1">
      <c r="A2032" s="1554"/>
      <c r="B2032" s="385"/>
      <c r="C2032" s="638"/>
      <c r="D2032" s="638"/>
      <c r="E2032" s="639"/>
      <c r="F2032" s="237"/>
      <c r="G2032" s="237"/>
      <c r="H2032" s="231">
        <f t="shared" si="62"/>
        <v>0</v>
      </c>
      <c r="I2032" s="231">
        <f t="shared" si="63"/>
        <v>0</v>
      </c>
    </row>
    <row r="2033" spans="1:12" s="7" customFormat="1" hidden="1">
      <c r="A2033" s="1554"/>
      <c r="B2033" s="385"/>
      <c r="C2033" s="638"/>
      <c r="D2033" s="638"/>
      <c r="E2033" s="639"/>
      <c r="F2033" s="237"/>
      <c r="G2033" s="237"/>
      <c r="H2033" s="231">
        <f t="shared" si="62"/>
        <v>0</v>
      </c>
      <c r="I2033" s="231">
        <f t="shared" si="63"/>
        <v>0</v>
      </c>
    </row>
    <row r="2034" spans="1:12" s="7" customFormat="1" hidden="1">
      <c r="A2034" s="1554"/>
      <c r="B2034" s="385"/>
      <c r="C2034" s="638"/>
      <c r="D2034" s="638"/>
      <c r="E2034" s="639"/>
      <c r="F2034" s="237"/>
      <c r="G2034" s="237"/>
      <c r="H2034" s="231">
        <f t="shared" si="62"/>
        <v>0</v>
      </c>
      <c r="I2034" s="231">
        <f t="shared" si="63"/>
        <v>0</v>
      </c>
    </row>
    <row r="2035" spans="1:12" s="7" customFormat="1" hidden="1">
      <c r="A2035" s="1554"/>
      <c r="B2035" s="385"/>
      <c r="C2035" s="638"/>
      <c r="D2035" s="638"/>
      <c r="E2035" s="639"/>
      <c r="F2035" s="237"/>
      <c r="G2035" s="237"/>
      <c r="H2035" s="231">
        <f t="shared" si="62"/>
        <v>0</v>
      </c>
      <c r="I2035" s="231">
        <f t="shared" si="63"/>
        <v>0</v>
      </c>
    </row>
    <row r="2036" spans="1:12" s="7" customFormat="1" hidden="1">
      <c r="A2036" s="1554"/>
      <c r="B2036" s="390"/>
      <c r="C2036" s="651"/>
      <c r="D2036" s="692"/>
      <c r="E2036" s="692"/>
      <c r="F2036" s="237"/>
      <c r="G2036" s="237"/>
      <c r="H2036" s="231">
        <f t="shared" si="62"/>
        <v>0</v>
      </c>
      <c r="I2036" s="231">
        <f t="shared" si="63"/>
        <v>0</v>
      </c>
    </row>
    <row r="2037" spans="1:12" s="7" customFormat="1" hidden="1">
      <c r="A2037" s="1554"/>
      <c r="B2037" s="385"/>
      <c r="C2037" s="638"/>
      <c r="D2037" s="638"/>
      <c r="E2037" s="639"/>
      <c r="F2037" s="237"/>
      <c r="G2037" s="237"/>
      <c r="H2037" s="231">
        <f t="shared" si="62"/>
        <v>0</v>
      </c>
      <c r="I2037" s="231">
        <f t="shared" si="63"/>
        <v>0</v>
      </c>
    </row>
    <row r="2038" spans="1:12" s="7" customFormat="1" hidden="1">
      <c r="A2038" s="1554"/>
      <c r="B2038" s="385"/>
      <c r="C2038" s="638"/>
      <c r="D2038" s="638"/>
      <c r="E2038" s="639"/>
      <c r="F2038" s="237"/>
      <c r="G2038" s="237"/>
      <c r="H2038" s="231">
        <f t="shared" si="62"/>
        <v>0</v>
      </c>
      <c r="I2038" s="231">
        <f t="shared" si="63"/>
        <v>0</v>
      </c>
    </row>
    <row r="2039" spans="1:12" s="7" customFormat="1" hidden="1">
      <c r="A2039" s="1554"/>
      <c r="B2039" s="385"/>
      <c r="C2039" s="638"/>
      <c r="D2039" s="638"/>
      <c r="E2039" s="639"/>
      <c r="F2039" s="237"/>
      <c r="G2039" s="237"/>
      <c r="H2039" s="231">
        <f t="shared" si="62"/>
        <v>0</v>
      </c>
      <c r="I2039" s="231">
        <f t="shared" si="63"/>
        <v>0</v>
      </c>
    </row>
    <row r="2040" spans="1:12" s="7" customFormat="1" hidden="1">
      <c r="A2040" s="1554"/>
      <c r="B2040" s="385"/>
      <c r="C2040" s="638"/>
      <c r="D2040" s="638"/>
      <c r="E2040" s="639"/>
      <c r="F2040" s="237"/>
      <c r="G2040" s="237"/>
      <c r="H2040" s="231">
        <f t="shared" si="62"/>
        <v>0</v>
      </c>
      <c r="I2040" s="231">
        <f t="shared" si="63"/>
        <v>0</v>
      </c>
    </row>
    <row r="2041" spans="1:12" s="7" customFormat="1" hidden="1">
      <c r="A2041" s="1554"/>
      <c r="B2041" s="385"/>
      <c r="C2041" s="638"/>
      <c r="D2041" s="638"/>
      <c r="E2041" s="639"/>
      <c r="F2041" s="237"/>
      <c r="G2041" s="237"/>
      <c r="H2041" s="231">
        <f t="shared" si="62"/>
        <v>0</v>
      </c>
      <c r="I2041" s="231">
        <f t="shared" si="63"/>
        <v>0</v>
      </c>
    </row>
    <row r="2042" spans="1:12" s="7" customFormat="1" hidden="1">
      <c r="A2042" s="1554"/>
      <c r="B2042" s="385"/>
      <c r="C2042" s="638"/>
      <c r="D2042" s="638"/>
      <c r="E2042" s="639"/>
      <c r="F2042" s="237"/>
      <c r="G2042" s="237"/>
      <c r="H2042" s="231">
        <f t="shared" si="62"/>
        <v>0</v>
      </c>
      <c r="I2042" s="231">
        <f t="shared" si="63"/>
        <v>0</v>
      </c>
    </row>
    <row r="2043" spans="1:12" s="7" customFormat="1" hidden="1">
      <c r="A2043" s="1554"/>
      <c r="B2043" s="385"/>
      <c r="C2043" s="638"/>
      <c r="D2043" s="638"/>
      <c r="E2043" s="639"/>
      <c r="F2043" s="237"/>
      <c r="G2043" s="237"/>
      <c r="H2043" s="231">
        <f t="shared" si="62"/>
        <v>0</v>
      </c>
      <c r="I2043" s="231">
        <f t="shared" si="63"/>
        <v>0</v>
      </c>
    </row>
    <row r="2044" spans="1:12" s="7" customFormat="1" hidden="1">
      <c r="A2044" s="1554"/>
      <c r="B2044" s="385"/>
      <c r="C2044" s="638"/>
      <c r="D2044" s="638"/>
      <c r="E2044" s="639"/>
      <c r="F2044" s="237"/>
      <c r="G2044" s="237"/>
      <c r="H2044" s="231">
        <f t="shared" si="62"/>
        <v>0</v>
      </c>
      <c r="I2044" s="231">
        <f t="shared" si="63"/>
        <v>0</v>
      </c>
    </row>
    <row r="2045" spans="1:12" s="7" customFormat="1" hidden="1">
      <c r="A2045" s="1554"/>
      <c r="B2045" s="385"/>
      <c r="C2045" s="638"/>
      <c r="D2045" s="638"/>
      <c r="E2045" s="639"/>
      <c r="F2045" s="237"/>
      <c r="G2045" s="237"/>
      <c r="H2045" s="231">
        <f t="shared" si="62"/>
        <v>0</v>
      </c>
      <c r="I2045" s="231">
        <f t="shared" si="63"/>
        <v>0</v>
      </c>
    </row>
    <row r="2046" spans="1:12" s="7" customFormat="1" hidden="1">
      <c r="A2046" s="1554"/>
      <c r="B2046" s="385"/>
      <c r="C2046" s="638"/>
      <c r="D2046" s="638"/>
      <c r="E2046" s="639"/>
      <c r="F2046" s="237"/>
      <c r="G2046" s="237"/>
      <c r="H2046" s="231">
        <f t="shared" si="62"/>
        <v>0</v>
      </c>
      <c r="I2046" s="231">
        <f t="shared" si="63"/>
        <v>0</v>
      </c>
    </row>
    <row r="2047" spans="1:12">
      <c r="A2047" s="1566"/>
      <c r="B2047" s="209" t="s">
        <v>985</v>
      </c>
      <c r="C2047" s="581">
        <f>SUM(C1971:C2046)</f>
        <v>400843</v>
      </c>
      <c r="D2047" s="581">
        <f>SUM(D1971:D2046)</f>
        <v>400843</v>
      </c>
      <c r="E2047" s="581">
        <f>SUM(E1971:E2046)</f>
        <v>0</v>
      </c>
      <c r="F2047" s="262">
        <f>SUM(F1971:F1971)</f>
        <v>0</v>
      </c>
      <c r="G2047" s="235">
        <f>SUM(G1971:G1971)</f>
        <v>0</v>
      </c>
      <c r="H2047" s="1497">
        <f t="shared" si="62"/>
        <v>0</v>
      </c>
      <c r="I2047" s="1497">
        <f t="shared" si="63"/>
        <v>801686</v>
      </c>
      <c r="J2047" s="1440"/>
      <c r="K2047" s="1490"/>
      <c r="L2047" s="1490"/>
    </row>
    <row r="2048" spans="1:12" ht="75">
      <c r="A2048" s="1566" t="s">
        <v>1162</v>
      </c>
      <c r="B2048" s="181" t="s">
        <v>772</v>
      </c>
      <c r="C2048" s="589">
        <v>27200</v>
      </c>
      <c r="D2048" s="589">
        <v>27200</v>
      </c>
      <c r="E2048" s="510"/>
      <c r="F2048" s="237"/>
      <c r="G2048" s="237"/>
      <c r="H2048" s="1497">
        <f t="shared" si="62"/>
        <v>0</v>
      </c>
      <c r="I2048" s="1497">
        <f t="shared" si="63"/>
        <v>54400</v>
      </c>
      <c r="J2048" s="1440"/>
      <c r="K2048" s="1490"/>
      <c r="L2048" s="1490"/>
    </row>
    <row r="2049" spans="1:12" ht="112.5">
      <c r="A2049" s="1566"/>
      <c r="B2049" s="107" t="s">
        <v>773</v>
      </c>
      <c r="C2049" s="590">
        <v>200000</v>
      </c>
      <c r="D2049" s="590"/>
      <c r="E2049" s="590">
        <v>200000</v>
      </c>
      <c r="F2049" s="237"/>
      <c r="G2049" s="237"/>
      <c r="H2049" s="1497">
        <f t="shared" si="62"/>
        <v>0</v>
      </c>
      <c r="I2049" s="1497">
        <f t="shared" si="63"/>
        <v>400000</v>
      </c>
      <c r="J2049" s="1440"/>
      <c r="K2049" s="1490"/>
      <c r="L2049" s="1490"/>
    </row>
    <row r="2050" spans="1:12" ht="37.5">
      <c r="A2050" s="1566"/>
      <c r="B2050" s="369" t="s">
        <v>1273</v>
      </c>
      <c r="C2050" s="589">
        <v>203394</v>
      </c>
      <c r="D2050" s="589">
        <v>203394</v>
      </c>
      <c r="E2050" s="510"/>
      <c r="F2050" s="237"/>
      <c r="G2050" s="237"/>
      <c r="H2050" s="1497">
        <f t="shared" si="62"/>
        <v>0</v>
      </c>
      <c r="I2050" s="1497">
        <f t="shared" si="63"/>
        <v>406788</v>
      </c>
      <c r="J2050" s="1440"/>
      <c r="K2050" s="1490"/>
      <c r="L2050" s="1490"/>
    </row>
    <row r="2051" spans="1:12" ht="37.5">
      <c r="A2051" s="1566"/>
      <c r="B2051" s="1215" t="s">
        <v>1371</v>
      </c>
      <c r="C2051" s="1214">
        <v>53515</v>
      </c>
      <c r="D2051" s="256">
        <v>53515</v>
      </c>
      <c r="E2051" s="256"/>
      <c r="F2051" s="232"/>
      <c r="G2051" s="232"/>
      <c r="H2051" s="1497">
        <f t="shared" si="62"/>
        <v>0</v>
      </c>
      <c r="I2051" s="1497">
        <f t="shared" si="63"/>
        <v>107030</v>
      </c>
      <c r="J2051" s="1440"/>
      <c r="K2051" s="1490"/>
      <c r="L2051" s="1490"/>
    </row>
    <row r="2052" spans="1:12">
      <c r="A2052" s="1566"/>
      <c r="B2052" s="1215" t="s">
        <v>1372</v>
      </c>
      <c r="C2052" s="1214">
        <v>30000</v>
      </c>
      <c r="D2052" s="256">
        <v>30000</v>
      </c>
      <c r="E2052" s="256"/>
      <c r="F2052" s="232"/>
      <c r="G2052" s="232"/>
      <c r="H2052" s="1497">
        <f t="shared" si="62"/>
        <v>0</v>
      </c>
      <c r="I2052" s="1497">
        <f t="shared" si="63"/>
        <v>60000</v>
      </c>
      <c r="J2052" s="1440"/>
      <c r="K2052" s="1490"/>
      <c r="L2052" s="1490"/>
    </row>
    <row r="2053" spans="1:12" ht="56.25">
      <c r="A2053" s="1566"/>
      <c r="B2053" s="1215" t="s">
        <v>1373</v>
      </c>
      <c r="C2053" s="1214">
        <v>24650</v>
      </c>
      <c r="D2053" s="256">
        <v>24650</v>
      </c>
      <c r="E2053" s="256"/>
      <c r="F2053" s="232"/>
      <c r="G2053" s="232"/>
      <c r="H2053" s="1497">
        <f t="shared" si="62"/>
        <v>0</v>
      </c>
      <c r="I2053" s="1497">
        <f t="shared" si="63"/>
        <v>49300</v>
      </c>
      <c r="J2053" s="1440"/>
      <c r="K2053" s="1490"/>
      <c r="L2053" s="1490"/>
    </row>
    <row r="2054" spans="1:12" ht="56.25">
      <c r="A2054" s="1566"/>
      <c r="B2054" s="1215" t="s">
        <v>1374</v>
      </c>
      <c r="C2054" s="1214">
        <v>31835</v>
      </c>
      <c r="D2054" s="256"/>
      <c r="E2054" s="256">
        <v>31835</v>
      </c>
      <c r="F2054" s="232"/>
      <c r="G2054" s="232"/>
      <c r="H2054" s="1497">
        <f t="shared" si="62"/>
        <v>0</v>
      </c>
      <c r="I2054" s="1497">
        <f t="shared" si="63"/>
        <v>63670</v>
      </c>
      <c r="J2054" s="1440"/>
      <c r="K2054" s="1490"/>
      <c r="L2054" s="1490"/>
    </row>
    <row r="2055" spans="1:12" ht="75">
      <c r="A2055" s="1566"/>
      <c r="B2055" s="1215" t="s">
        <v>1375</v>
      </c>
      <c r="C2055" s="1214">
        <v>50000</v>
      </c>
      <c r="D2055" s="256">
        <v>50000</v>
      </c>
      <c r="E2055" s="256"/>
      <c r="F2055" s="232"/>
      <c r="G2055" s="232"/>
      <c r="H2055" s="1497">
        <f t="shared" si="62"/>
        <v>0</v>
      </c>
      <c r="I2055" s="1497">
        <f t="shared" si="63"/>
        <v>100000</v>
      </c>
      <c r="J2055" s="1440"/>
      <c r="K2055" s="1490"/>
      <c r="L2055" s="1490"/>
    </row>
    <row r="2056" spans="1:12" ht="75">
      <c r="A2056" s="1566"/>
      <c r="B2056" s="1215" t="s">
        <v>1376</v>
      </c>
      <c r="C2056" s="1214">
        <v>70000</v>
      </c>
      <c r="D2056" s="256">
        <v>70000</v>
      </c>
      <c r="E2056" s="256"/>
      <c r="F2056" s="232"/>
      <c r="G2056" s="232"/>
      <c r="H2056" s="1497">
        <f t="shared" si="62"/>
        <v>0</v>
      </c>
      <c r="I2056" s="1497">
        <f t="shared" si="63"/>
        <v>140000</v>
      </c>
      <c r="J2056" s="1440"/>
      <c r="K2056" s="1490"/>
      <c r="L2056" s="1490"/>
    </row>
    <row r="2057" spans="1:12" ht="75">
      <c r="A2057" s="1566"/>
      <c r="B2057" s="1215" t="s">
        <v>1377</v>
      </c>
      <c r="C2057" s="1214">
        <v>80000</v>
      </c>
      <c r="D2057" s="256">
        <v>80000</v>
      </c>
      <c r="E2057" s="256"/>
      <c r="F2057" s="232"/>
      <c r="G2057" s="232"/>
      <c r="H2057" s="1497">
        <f t="shared" ref="H2057:H2120" si="64">E2057+D2057-C2057</f>
        <v>0</v>
      </c>
      <c r="I2057" s="1497">
        <f t="shared" ref="I2057:I2120" si="65">SUM(C2057:E2057)</f>
        <v>160000</v>
      </c>
      <c r="J2057" s="1440"/>
      <c r="K2057" s="1490"/>
      <c r="L2057" s="1490"/>
    </row>
    <row r="2058" spans="1:12" ht="75">
      <c r="A2058" s="1566"/>
      <c r="B2058" s="425" t="s">
        <v>1644</v>
      </c>
      <c r="C2058" s="817">
        <v>54612</v>
      </c>
      <c r="D2058" s="1226">
        <v>54612</v>
      </c>
      <c r="E2058" s="1227"/>
      <c r="F2058" s="232"/>
      <c r="G2058" s="232"/>
      <c r="H2058" s="1497">
        <f t="shared" si="64"/>
        <v>0</v>
      </c>
      <c r="I2058" s="1497">
        <f t="shared" si="65"/>
        <v>109224</v>
      </c>
      <c r="J2058" s="1440"/>
      <c r="K2058" s="1490"/>
      <c r="L2058" s="1490"/>
    </row>
    <row r="2059" spans="1:12" s="374" customFormat="1" ht="56.25">
      <c r="A2059" s="1566"/>
      <c r="B2059" s="425" t="s">
        <v>1645</v>
      </c>
      <c r="C2059" s="817">
        <v>32500</v>
      </c>
      <c r="D2059" s="1226"/>
      <c r="E2059" s="1227">
        <v>32500</v>
      </c>
      <c r="F2059" s="375"/>
      <c r="G2059" s="375"/>
      <c r="H2059" s="1497">
        <f t="shared" si="64"/>
        <v>0</v>
      </c>
      <c r="I2059" s="1497">
        <f t="shared" si="65"/>
        <v>65000</v>
      </c>
      <c r="J2059" s="1440"/>
      <c r="K2059" s="1490"/>
      <c r="L2059" s="1490"/>
    </row>
    <row r="2060" spans="1:12" s="374" customFormat="1" ht="37.5">
      <c r="A2060" s="1566"/>
      <c r="B2060" s="425" t="s">
        <v>1646</v>
      </c>
      <c r="C2060" s="817">
        <v>90000</v>
      </c>
      <c r="D2060" s="1226">
        <v>90000</v>
      </c>
      <c r="E2060" s="1227"/>
      <c r="F2060" s="375"/>
      <c r="G2060" s="375"/>
      <c r="H2060" s="1497">
        <f t="shared" si="64"/>
        <v>0</v>
      </c>
      <c r="I2060" s="1497">
        <f t="shared" si="65"/>
        <v>180000</v>
      </c>
      <c r="J2060" s="1440"/>
      <c r="K2060" s="1490"/>
      <c r="L2060" s="1490"/>
    </row>
    <row r="2061" spans="1:12" ht="81" customHeight="1">
      <c r="A2061" s="1566"/>
      <c r="B2061" s="371" t="s">
        <v>2147</v>
      </c>
      <c r="C2061" s="184">
        <v>34212</v>
      </c>
      <c r="D2061" s="184">
        <v>34212</v>
      </c>
      <c r="E2061" s="184"/>
      <c r="F2061" s="232"/>
      <c r="G2061" s="232"/>
      <c r="H2061" s="1497">
        <f t="shared" si="64"/>
        <v>0</v>
      </c>
      <c r="I2061" s="1497">
        <f t="shared" si="65"/>
        <v>68424</v>
      </c>
      <c r="J2061" s="1440"/>
      <c r="K2061" s="1490"/>
      <c r="L2061" s="1490"/>
    </row>
    <row r="2062" spans="1:12" ht="56.25">
      <c r="A2062" s="1566"/>
      <c r="B2062" s="107" t="s">
        <v>1647</v>
      </c>
      <c r="C2062" s="184">
        <v>7000</v>
      </c>
      <c r="D2062" s="184">
        <v>7000</v>
      </c>
      <c r="E2062" s="184"/>
      <c r="F2062" s="232"/>
      <c r="G2062" s="232"/>
      <c r="H2062" s="1497">
        <f t="shared" si="64"/>
        <v>0</v>
      </c>
      <c r="I2062" s="1497">
        <f t="shared" si="65"/>
        <v>14000</v>
      </c>
      <c r="J2062" s="1440"/>
      <c r="K2062" s="1490"/>
      <c r="L2062" s="1490"/>
    </row>
    <row r="2063" spans="1:12" ht="75">
      <c r="A2063" s="1566"/>
      <c r="B2063" s="107" t="s">
        <v>1648</v>
      </c>
      <c r="C2063" s="184">
        <v>7000</v>
      </c>
      <c r="D2063" s="184">
        <v>7000</v>
      </c>
      <c r="E2063" s="184"/>
      <c r="F2063" s="232"/>
      <c r="G2063" s="232"/>
      <c r="H2063" s="1497">
        <f t="shared" si="64"/>
        <v>0</v>
      </c>
      <c r="I2063" s="1497">
        <f t="shared" si="65"/>
        <v>14000</v>
      </c>
      <c r="J2063" s="1440"/>
      <c r="K2063" s="1490"/>
      <c r="L2063" s="1490"/>
    </row>
    <row r="2064" spans="1:12" ht="93.75">
      <c r="A2064" s="1566"/>
      <c r="B2064" s="107" t="s">
        <v>1649</v>
      </c>
      <c r="C2064" s="184">
        <v>15000</v>
      </c>
      <c r="D2064" s="184">
        <v>15000</v>
      </c>
      <c r="E2064" s="184"/>
      <c r="F2064" s="232"/>
      <c r="G2064" s="232"/>
      <c r="H2064" s="1497">
        <f t="shared" si="64"/>
        <v>0</v>
      </c>
      <c r="I2064" s="1497">
        <f t="shared" si="65"/>
        <v>30000</v>
      </c>
      <c r="J2064" s="1440"/>
      <c r="K2064" s="1490"/>
      <c r="L2064" s="1490"/>
    </row>
    <row r="2065" spans="1:12" s="7" customFormat="1" ht="93.75">
      <c r="A2065" s="1558"/>
      <c r="B2065" s="107" t="s">
        <v>1650</v>
      </c>
      <c r="C2065" s="184">
        <v>19500</v>
      </c>
      <c r="D2065" s="184">
        <v>19500</v>
      </c>
      <c r="E2065" s="184"/>
      <c r="F2065" s="232"/>
      <c r="G2065" s="232"/>
      <c r="H2065" s="1497">
        <f t="shared" si="64"/>
        <v>0</v>
      </c>
      <c r="I2065" s="1497">
        <f t="shared" si="65"/>
        <v>39000</v>
      </c>
      <c r="J2065" s="1435"/>
      <c r="K2065" s="1491"/>
      <c r="L2065" s="1491"/>
    </row>
    <row r="2066" spans="1:12" s="7" customFormat="1" ht="75">
      <c r="A2066" s="1558"/>
      <c r="B2066" s="107" t="s">
        <v>1651</v>
      </c>
      <c r="C2066" s="184">
        <v>13400</v>
      </c>
      <c r="D2066" s="184">
        <v>13400</v>
      </c>
      <c r="E2066" s="184"/>
      <c r="F2066" s="232"/>
      <c r="G2066" s="232"/>
      <c r="H2066" s="1497">
        <f t="shared" si="64"/>
        <v>0</v>
      </c>
      <c r="I2066" s="1497">
        <f t="shared" si="65"/>
        <v>26800</v>
      </c>
      <c r="J2066" s="1435"/>
      <c r="K2066" s="1491"/>
      <c r="L2066" s="1491"/>
    </row>
    <row r="2067" spans="1:12" s="7" customFormat="1" ht="56.25">
      <c r="A2067" s="1558"/>
      <c r="B2067" s="107" t="s">
        <v>1652</v>
      </c>
      <c r="C2067" s="184">
        <v>20000</v>
      </c>
      <c r="D2067" s="184">
        <v>20000</v>
      </c>
      <c r="E2067" s="184"/>
      <c r="F2067" s="232"/>
      <c r="G2067" s="232"/>
      <c r="H2067" s="1497">
        <f t="shared" si="64"/>
        <v>0</v>
      </c>
      <c r="I2067" s="1497">
        <f t="shared" si="65"/>
        <v>40000</v>
      </c>
      <c r="J2067" s="1435"/>
      <c r="K2067" s="1491"/>
      <c r="L2067" s="1491"/>
    </row>
    <row r="2068" spans="1:12" s="7" customFormat="1" ht="37.5">
      <c r="A2068" s="1558"/>
      <c r="B2068" s="107" t="s">
        <v>1653</v>
      </c>
      <c r="C2068" s="184">
        <v>30000</v>
      </c>
      <c r="D2068" s="184">
        <v>30000</v>
      </c>
      <c r="E2068" s="184"/>
      <c r="F2068" s="232"/>
      <c r="G2068" s="232"/>
      <c r="H2068" s="1497">
        <f t="shared" si="64"/>
        <v>0</v>
      </c>
      <c r="I2068" s="1497">
        <f t="shared" si="65"/>
        <v>60000</v>
      </c>
      <c r="J2068" s="1435"/>
      <c r="K2068" s="1491"/>
      <c r="L2068" s="1491"/>
    </row>
    <row r="2069" spans="1:12" s="765" customFormat="1" ht="37.5">
      <c r="A2069" s="1558"/>
      <c r="B2069" s="107" t="s">
        <v>1654</v>
      </c>
      <c r="C2069" s="817">
        <v>10000</v>
      </c>
      <c r="D2069" s="817"/>
      <c r="E2069" s="184">
        <v>10000</v>
      </c>
      <c r="F2069" s="781"/>
      <c r="G2069" s="781"/>
      <c r="H2069" s="1497">
        <f t="shared" si="64"/>
        <v>0</v>
      </c>
      <c r="I2069" s="1497">
        <f t="shared" si="65"/>
        <v>20000</v>
      </c>
      <c r="J2069" s="1435"/>
      <c r="K2069" s="1491"/>
      <c r="L2069" s="1491"/>
    </row>
    <row r="2070" spans="1:12" s="7" customFormat="1" ht="75">
      <c r="A2070" s="1558"/>
      <c r="B2070" s="425" t="s">
        <v>1655</v>
      </c>
      <c r="C2070" s="817">
        <v>11000</v>
      </c>
      <c r="D2070" s="817"/>
      <c r="E2070" s="184">
        <v>11000</v>
      </c>
      <c r="F2070" s="232"/>
      <c r="G2070" s="232"/>
      <c r="H2070" s="1497">
        <f t="shared" si="64"/>
        <v>0</v>
      </c>
      <c r="I2070" s="1497">
        <f t="shared" si="65"/>
        <v>22000</v>
      </c>
      <c r="J2070" s="1435"/>
      <c r="K2070" s="1491"/>
      <c r="L2070" s="1491"/>
    </row>
    <row r="2071" spans="1:12" s="7" customFormat="1" ht="150">
      <c r="A2071" s="1558"/>
      <c r="B2071" s="107" t="s">
        <v>2135</v>
      </c>
      <c r="C2071" s="817">
        <v>25000</v>
      </c>
      <c r="D2071" s="817">
        <v>25000</v>
      </c>
      <c r="E2071" s="184"/>
      <c r="F2071" s="232"/>
      <c r="G2071" s="232"/>
      <c r="H2071" s="1497">
        <f t="shared" si="64"/>
        <v>0</v>
      </c>
      <c r="I2071" s="1497">
        <f t="shared" si="65"/>
        <v>50000</v>
      </c>
      <c r="J2071" s="1435"/>
      <c r="K2071" s="1491"/>
      <c r="L2071" s="1491"/>
    </row>
    <row r="2072" spans="1:12" s="7" customFormat="1" hidden="1">
      <c r="A2072" s="1558"/>
      <c r="B2072" s="371"/>
      <c r="C2072" s="829"/>
      <c r="D2072" s="829"/>
      <c r="E2072" s="829"/>
      <c r="F2072" s="232"/>
      <c r="G2072" s="232"/>
      <c r="H2072" s="231">
        <f t="shared" si="64"/>
        <v>0</v>
      </c>
      <c r="I2072" s="231">
        <f t="shared" si="65"/>
        <v>0</v>
      </c>
    </row>
    <row r="2073" spans="1:12" s="120" customFormat="1" hidden="1">
      <c r="A2073" s="1558"/>
      <c r="B2073" s="371"/>
      <c r="C2073" s="829"/>
      <c r="D2073" s="829"/>
      <c r="E2073" s="829"/>
      <c r="F2073" s="238"/>
      <c r="G2073" s="238"/>
      <c r="H2073" s="231">
        <f t="shared" si="64"/>
        <v>0</v>
      </c>
      <c r="I2073" s="231">
        <f t="shared" si="65"/>
        <v>0</v>
      </c>
    </row>
    <row r="2074" spans="1:12" s="120" customFormat="1" hidden="1">
      <c r="A2074" s="1558"/>
      <c r="B2074" s="371"/>
      <c r="C2074" s="829"/>
      <c r="D2074" s="829"/>
      <c r="E2074" s="829"/>
      <c r="F2074" s="238"/>
      <c r="G2074" s="238"/>
      <c r="H2074" s="231">
        <f t="shared" si="64"/>
        <v>0</v>
      </c>
      <c r="I2074" s="231">
        <f t="shared" si="65"/>
        <v>0</v>
      </c>
    </row>
    <row r="2075" spans="1:12" s="85" customFormat="1" hidden="1">
      <c r="A2075" s="1660"/>
      <c r="B2075" s="371"/>
      <c r="C2075" s="829"/>
      <c r="D2075" s="829"/>
      <c r="E2075" s="829"/>
      <c r="F2075" s="238"/>
      <c r="G2075" s="238"/>
      <c r="H2075" s="231">
        <f t="shared" si="64"/>
        <v>0</v>
      </c>
      <c r="I2075" s="231">
        <f t="shared" si="65"/>
        <v>0</v>
      </c>
    </row>
    <row r="2076" spans="1:12" s="85" customFormat="1" hidden="1">
      <c r="A2076" s="1660"/>
      <c r="B2076" s="371"/>
      <c r="C2076" s="851"/>
      <c r="D2076" s="851"/>
      <c r="E2076" s="852"/>
      <c r="F2076" s="238"/>
      <c r="G2076" s="238"/>
      <c r="H2076" s="231">
        <f t="shared" si="64"/>
        <v>0</v>
      </c>
      <c r="I2076" s="231">
        <f t="shared" si="65"/>
        <v>0</v>
      </c>
    </row>
    <row r="2077" spans="1:12" s="120" customFormat="1" hidden="1">
      <c r="A2077" s="1558"/>
      <c r="B2077" s="371"/>
      <c r="C2077" s="851"/>
      <c r="D2077" s="851"/>
      <c r="E2077" s="852"/>
      <c r="F2077" s="238"/>
      <c r="G2077" s="238"/>
      <c r="H2077" s="231">
        <f t="shared" si="64"/>
        <v>0</v>
      </c>
      <c r="I2077" s="231">
        <f t="shared" si="65"/>
        <v>0</v>
      </c>
    </row>
    <row r="2078" spans="1:12" s="120" customFormat="1" hidden="1">
      <c r="A2078" s="1558"/>
      <c r="B2078" s="371"/>
      <c r="C2078" s="850"/>
      <c r="D2078" s="850"/>
      <c r="E2078" s="844"/>
      <c r="F2078" s="238"/>
      <c r="G2078" s="238"/>
      <c r="H2078" s="231">
        <f t="shared" si="64"/>
        <v>0</v>
      </c>
      <c r="I2078" s="231">
        <f t="shared" si="65"/>
        <v>0</v>
      </c>
    </row>
    <row r="2079" spans="1:12" s="120" customFormat="1" hidden="1">
      <c r="A2079" s="1558"/>
      <c r="B2079" s="868"/>
      <c r="C2079" s="850"/>
      <c r="D2079" s="850"/>
      <c r="E2079" s="844"/>
      <c r="F2079" s="238"/>
      <c r="G2079" s="238"/>
      <c r="H2079" s="231">
        <f t="shared" si="64"/>
        <v>0</v>
      </c>
      <c r="I2079" s="231">
        <f t="shared" si="65"/>
        <v>0</v>
      </c>
    </row>
    <row r="2080" spans="1:12" s="120" customFormat="1" hidden="1">
      <c r="A2080" s="1558"/>
      <c r="B2080" s="869"/>
      <c r="C2080" s="850"/>
      <c r="D2080" s="850"/>
      <c r="E2080" s="844"/>
      <c r="F2080" s="238"/>
      <c r="G2080" s="238"/>
      <c r="H2080" s="231">
        <f t="shared" si="64"/>
        <v>0</v>
      </c>
      <c r="I2080" s="231">
        <f t="shared" si="65"/>
        <v>0</v>
      </c>
    </row>
    <row r="2081" spans="1:9" s="120" customFormat="1" hidden="1">
      <c r="A2081" s="1558"/>
      <c r="B2081" s="857"/>
      <c r="C2081" s="850"/>
      <c r="D2081" s="850"/>
      <c r="E2081" s="844"/>
      <c r="F2081" s="238"/>
      <c r="G2081" s="238"/>
      <c r="H2081" s="231">
        <f t="shared" si="64"/>
        <v>0</v>
      </c>
      <c r="I2081" s="231">
        <f t="shared" si="65"/>
        <v>0</v>
      </c>
    </row>
    <row r="2082" spans="1:9" s="120" customFormat="1" hidden="1">
      <c r="A2082" s="1558"/>
      <c r="B2082" s="870"/>
      <c r="C2082" s="850"/>
      <c r="D2082" s="850"/>
      <c r="E2082" s="844"/>
      <c r="F2082" s="238"/>
      <c r="G2082" s="238"/>
      <c r="H2082" s="231">
        <f t="shared" si="64"/>
        <v>0</v>
      </c>
      <c r="I2082" s="231">
        <f t="shared" si="65"/>
        <v>0</v>
      </c>
    </row>
    <row r="2083" spans="1:9" s="120" customFormat="1" hidden="1">
      <c r="A2083" s="1558"/>
      <c r="B2083" s="495"/>
      <c r="C2083" s="850"/>
      <c r="D2083" s="850"/>
      <c r="E2083" s="844"/>
      <c r="F2083" s="238"/>
      <c r="G2083" s="238"/>
      <c r="H2083" s="231">
        <f t="shared" si="64"/>
        <v>0</v>
      </c>
      <c r="I2083" s="231">
        <f t="shared" si="65"/>
        <v>0</v>
      </c>
    </row>
    <row r="2084" spans="1:9" s="120" customFormat="1" hidden="1">
      <c r="A2084" s="1558"/>
      <c r="B2084" s="371"/>
      <c r="C2084" s="850"/>
      <c r="D2084" s="850"/>
      <c r="E2084" s="844"/>
      <c r="F2084" s="238"/>
      <c r="G2084" s="238"/>
      <c r="H2084" s="231">
        <f t="shared" si="64"/>
        <v>0</v>
      </c>
      <c r="I2084" s="231">
        <f t="shared" si="65"/>
        <v>0</v>
      </c>
    </row>
    <row r="2085" spans="1:9" s="120" customFormat="1" hidden="1">
      <c r="A2085" s="1558"/>
      <c r="B2085" s="371"/>
      <c r="C2085" s="850"/>
      <c r="D2085" s="850"/>
      <c r="E2085" s="844"/>
      <c r="F2085" s="238"/>
      <c r="G2085" s="238"/>
      <c r="H2085" s="231">
        <f t="shared" si="64"/>
        <v>0</v>
      </c>
      <c r="I2085" s="231">
        <f t="shared" si="65"/>
        <v>0</v>
      </c>
    </row>
    <row r="2086" spans="1:9" s="120" customFormat="1" hidden="1">
      <c r="A2086" s="1558"/>
      <c r="B2086" s="495"/>
      <c r="C2086" s="850"/>
      <c r="D2086" s="850"/>
      <c r="E2086" s="844"/>
      <c r="F2086" s="238"/>
      <c r="G2086" s="238"/>
      <c r="H2086" s="231">
        <f t="shared" si="64"/>
        <v>0</v>
      </c>
      <c r="I2086" s="231">
        <f t="shared" si="65"/>
        <v>0</v>
      </c>
    </row>
    <row r="2087" spans="1:9" s="120" customFormat="1" hidden="1">
      <c r="A2087" s="1554"/>
      <c r="B2087" s="385"/>
      <c r="C2087" s="638"/>
      <c r="D2087" s="638"/>
      <c r="E2087" s="639"/>
      <c r="F2087" s="238"/>
      <c r="G2087" s="238"/>
      <c r="H2087" s="231">
        <f t="shared" si="64"/>
        <v>0</v>
      </c>
      <c r="I2087" s="231">
        <f t="shared" si="65"/>
        <v>0</v>
      </c>
    </row>
    <row r="2088" spans="1:9" s="120" customFormat="1" hidden="1">
      <c r="A2088" s="1554"/>
      <c r="B2088" s="385"/>
      <c r="C2088" s="638"/>
      <c r="D2088" s="638"/>
      <c r="E2088" s="639"/>
      <c r="F2088" s="238"/>
      <c r="G2088" s="238"/>
      <c r="H2088" s="231">
        <f t="shared" si="64"/>
        <v>0</v>
      </c>
      <c r="I2088" s="231">
        <f t="shared" si="65"/>
        <v>0</v>
      </c>
    </row>
    <row r="2089" spans="1:9" s="120" customFormat="1" hidden="1">
      <c r="A2089" s="1554"/>
      <c r="B2089" s="385"/>
      <c r="C2089" s="638"/>
      <c r="D2089" s="638"/>
      <c r="E2089" s="639"/>
      <c r="F2089" s="238"/>
      <c r="G2089" s="238"/>
      <c r="H2089" s="231">
        <f t="shared" si="64"/>
        <v>0</v>
      </c>
      <c r="I2089" s="231">
        <f t="shared" si="65"/>
        <v>0</v>
      </c>
    </row>
    <row r="2090" spans="1:9" s="120" customFormat="1" hidden="1">
      <c r="A2090" s="1554"/>
      <c r="B2090" s="406"/>
      <c r="C2090" s="651"/>
      <c r="D2090" s="651"/>
      <c r="E2090" s="723"/>
      <c r="F2090" s="238"/>
      <c r="G2090" s="238"/>
      <c r="H2090" s="231">
        <f t="shared" si="64"/>
        <v>0</v>
      </c>
      <c r="I2090" s="231">
        <f t="shared" si="65"/>
        <v>0</v>
      </c>
    </row>
    <row r="2091" spans="1:9" s="120" customFormat="1" hidden="1">
      <c r="A2091" s="1554"/>
      <c r="B2091" s="107"/>
      <c r="C2091" s="654"/>
      <c r="D2091" s="654"/>
      <c r="E2091" s="256"/>
      <c r="F2091" s="238"/>
      <c r="G2091" s="238"/>
      <c r="H2091" s="231">
        <f t="shared" si="64"/>
        <v>0</v>
      </c>
      <c r="I2091" s="231">
        <f t="shared" si="65"/>
        <v>0</v>
      </c>
    </row>
    <row r="2092" spans="1:9" s="120" customFormat="1" hidden="1">
      <c r="A2092" s="1554"/>
      <c r="B2092" s="107"/>
      <c r="C2092" s="654"/>
      <c r="D2092" s="654"/>
      <c r="E2092" s="256"/>
      <c r="F2092" s="238"/>
      <c r="G2092" s="238"/>
      <c r="H2092" s="231">
        <f t="shared" si="64"/>
        <v>0</v>
      </c>
      <c r="I2092" s="231">
        <f t="shared" si="65"/>
        <v>0</v>
      </c>
    </row>
    <row r="2093" spans="1:9" s="120" customFormat="1" hidden="1">
      <c r="A2093" s="1554"/>
      <c r="B2093" s="107"/>
      <c r="C2093" s="654"/>
      <c r="D2093" s="654"/>
      <c r="E2093" s="256"/>
      <c r="F2093" s="238"/>
      <c r="G2093" s="238"/>
      <c r="H2093" s="231">
        <f t="shared" si="64"/>
        <v>0</v>
      </c>
      <c r="I2093" s="231">
        <f t="shared" si="65"/>
        <v>0</v>
      </c>
    </row>
    <row r="2094" spans="1:9" s="120" customFormat="1" hidden="1">
      <c r="A2094" s="1554"/>
      <c r="B2094" s="107"/>
      <c r="C2094" s="654"/>
      <c r="D2094" s="654"/>
      <c r="E2094" s="256"/>
      <c r="F2094" s="238"/>
      <c r="G2094" s="238"/>
      <c r="H2094" s="231">
        <f t="shared" si="64"/>
        <v>0</v>
      </c>
      <c r="I2094" s="231">
        <f t="shared" si="65"/>
        <v>0</v>
      </c>
    </row>
    <row r="2095" spans="1:9" s="120" customFormat="1" hidden="1">
      <c r="A2095" s="1554"/>
      <c r="B2095" s="107"/>
      <c r="C2095" s="654"/>
      <c r="D2095" s="654"/>
      <c r="E2095" s="256"/>
      <c r="F2095" s="238"/>
      <c r="G2095" s="238"/>
      <c r="H2095" s="231">
        <f t="shared" si="64"/>
        <v>0</v>
      </c>
      <c r="I2095" s="231">
        <f t="shared" si="65"/>
        <v>0</v>
      </c>
    </row>
    <row r="2096" spans="1:9" s="120" customFormat="1" hidden="1">
      <c r="A2096" s="1554"/>
      <c r="B2096" s="107"/>
      <c r="C2096" s="654"/>
      <c r="D2096" s="654"/>
      <c r="E2096" s="256"/>
      <c r="F2096" s="238"/>
      <c r="G2096" s="238"/>
      <c r="H2096" s="231">
        <f t="shared" si="64"/>
        <v>0</v>
      </c>
      <c r="I2096" s="231">
        <f t="shared" si="65"/>
        <v>0</v>
      </c>
    </row>
    <row r="2097" spans="1:9" s="120" customFormat="1" hidden="1">
      <c r="A2097" s="1554"/>
      <c r="B2097" s="107"/>
      <c r="C2097" s="654"/>
      <c r="D2097" s="654"/>
      <c r="E2097" s="256"/>
      <c r="F2097" s="238"/>
      <c r="G2097" s="238"/>
      <c r="H2097" s="231">
        <f t="shared" si="64"/>
        <v>0</v>
      </c>
      <c r="I2097" s="231">
        <f t="shared" si="65"/>
        <v>0</v>
      </c>
    </row>
    <row r="2098" spans="1:9" s="120" customFormat="1" hidden="1">
      <c r="A2098" s="1554"/>
      <c r="B2098" s="107"/>
      <c r="C2098" s="654"/>
      <c r="D2098" s="654"/>
      <c r="E2098" s="256"/>
      <c r="F2098" s="238"/>
      <c r="G2098" s="238"/>
      <c r="H2098" s="231">
        <f t="shared" si="64"/>
        <v>0</v>
      </c>
      <c r="I2098" s="231">
        <f t="shared" si="65"/>
        <v>0</v>
      </c>
    </row>
    <row r="2099" spans="1:9" s="120" customFormat="1" hidden="1">
      <c r="A2099" s="1554"/>
      <c r="B2099" s="107"/>
      <c r="C2099" s="654"/>
      <c r="D2099" s="654"/>
      <c r="E2099" s="256"/>
      <c r="F2099" s="238"/>
      <c r="G2099" s="238"/>
      <c r="H2099" s="231">
        <f t="shared" si="64"/>
        <v>0</v>
      </c>
      <c r="I2099" s="231">
        <f t="shared" si="65"/>
        <v>0</v>
      </c>
    </row>
    <row r="2100" spans="1:9" s="120" customFormat="1" hidden="1">
      <c r="A2100" s="1554"/>
      <c r="B2100" s="107"/>
      <c r="C2100" s="654"/>
      <c r="D2100" s="654"/>
      <c r="E2100" s="256"/>
      <c r="F2100" s="238"/>
      <c r="G2100" s="238"/>
      <c r="H2100" s="231">
        <f t="shared" si="64"/>
        <v>0</v>
      </c>
      <c r="I2100" s="231">
        <f t="shared" si="65"/>
        <v>0</v>
      </c>
    </row>
    <row r="2101" spans="1:9" s="120" customFormat="1" hidden="1">
      <c r="A2101" s="1554"/>
      <c r="B2101" s="107"/>
      <c r="C2101" s="654"/>
      <c r="D2101" s="654"/>
      <c r="E2101" s="256"/>
      <c r="F2101" s="238"/>
      <c r="G2101" s="238"/>
      <c r="H2101" s="231">
        <f t="shared" si="64"/>
        <v>0</v>
      </c>
      <c r="I2101" s="231">
        <f t="shared" si="65"/>
        <v>0</v>
      </c>
    </row>
    <row r="2102" spans="1:9" s="120" customFormat="1" hidden="1">
      <c r="A2102" s="1554"/>
      <c r="B2102" s="107"/>
      <c r="C2102" s="654"/>
      <c r="D2102" s="654"/>
      <c r="E2102" s="256"/>
      <c r="F2102" s="238"/>
      <c r="G2102" s="238"/>
      <c r="H2102" s="231">
        <f t="shared" si="64"/>
        <v>0</v>
      </c>
      <c r="I2102" s="231">
        <f t="shared" si="65"/>
        <v>0</v>
      </c>
    </row>
    <row r="2103" spans="1:9" s="120" customFormat="1" hidden="1">
      <c r="A2103" s="1554"/>
      <c r="B2103" s="107"/>
      <c r="C2103" s="654"/>
      <c r="D2103" s="654"/>
      <c r="E2103" s="256"/>
      <c r="F2103" s="238"/>
      <c r="G2103" s="238"/>
      <c r="H2103" s="231">
        <f t="shared" si="64"/>
        <v>0</v>
      </c>
      <c r="I2103" s="231">
        <f t="shared" si="65"/>
        <v>0</v>
      </c>
    </row>
    <row r="2104" spans="1:9" s="120" customFormat="1" hidden="1">
      <c r="A2104" s="1554"/>
      <c r="B2104" s="107"/>
      <c r="C2104" s="654"/>
      <c r="D2104" s="654"/>
      <c r="E2104" s="256"/>
      <c r="F2104" s="238"/>
      <c r="G2104" s="238"/>
      <c r="H2104" s="231">
        <f t="shared" si="64"/>
        <v>0</v>
      </c>
      <c r="I2104" s="231">
        <f t="shared" si="65"/>
        <v>0</v>
      </c>
    </row>
    <row r="2105" spans="1:9" s="120" customFormat="1" hidden="1">
      <c r="A2105" s="1554"/>
      <c r="B2105" s="107"/>
      <c r="C2105" s="654"/>
      <c r="D2105" s="654"/>
      <c r="E2105" s="256"/>
      <c r="F2105" s="238"/>
      <c r="G2105" s="238"/>
      <c r="H2105" s="231">
        <f t="shared" si="64"/>
        <v>0</v>
      </c>
      <c r="I2105" s="231">
        <f t="shared" si="65"/>
        <v>0</v>
      </c>
    </row>
    <row r="2106" spans="1:9" s="120" customFormat="1" hidden="1">
      <c r="A2106" s="1554"/>
      <c r="B2106" s="107"/>
      <c r="C2106" s="654"/>
      <c r="D2106" s="654"/>
      <c r="E2106" s="256"/>
      <c r="F2106" s="238"/>
      <c r="G2106" s="238"/>
      <c r="H2106" s="231">
        <f t="shared" si="64"/>
        <v>0</v>
      </c>
      <c r="I2106" s="231">
        <f t="shared" si="65"/>
        <v>0</v>
      </c>
    </row>
    <row r="2107" spans="1:9" s="120" customFormat="1" hidden="1">
      <c r="A2107" s="1554"/>
      <c r="B2107" s="107"/>
      <c r="C2107" s="654"/>
      <c r="D2107" s="654"/>
      <c r="E2107" s="256"/>
      <c r="F2107" s="238"/>
      <c r="G2107" s="238"/>
      <c r="H2107" s="231">
        <f t="shared" si="64"/>
        <v>0</v>
      </c>
      <c r="I2107" s="231">
        <f t="shared" si="65"/>
        <v>0</v>
      </c>
    </row>
    <row r="2108" spans="1:9" s="120" customFormat="1" hidden="1">
      <c r="A2108" s="1554"/>
      <c r="B2108" s="107"/>
      <c r="C2108" s="654"/>
      <c r="D2108" s="654"/>
      <c r="E2108" s="256"/>
      <c r="F2108" s="238"/>
      <c r="G2108" s="238"/>
      <c r="H2108" s="231">
        <f t="shared" si="64"/>
        <v>0</v>
      </c>
      <c r="I2108" s="231">
        <f t="shared" si="65"/>
        <v>0</v>
      </c>
    </row>
    <row r="2109" spans="1:9" s="120" customFormat="1" hidden="1">
      <c r="A2109" s="1554"/>
      <c r="B2109" s="107"/>
      <c r="C2109" s="654"/>
      <c r="D2109" s="654"/>
      <c r="E2109" s="256"/>
      <c r="F2109" s="238"/>
      <c r="G2109" s="238"/>
      <c r="H2109" s="231">
        <f t="shared" si="64"/>
        <v>0</v>
      </c>
      <c r="I2109" s="231">
        <f t="shared" si="65"/>
        <v>0</v>
      </c>
    </row>
    <row r="2110" spans="1:9" s="120" customFormat="1" hidden="1">
      <c r="A2110" s="1554"/>
      <c r="B2110" s="107"/>
      <c r="C2110" s="654"/>
      <c r="D2110" s="654"/>
      <c r="E2110" s="256"/>
      <c r="F2110" s="238"/>
      <c r="G2110" s="238"/>
      <c r="H2110" s="231">
        <f t="shared" si="64"/>
        <v>0</v>
      </c>
      <c r="I2110" s="231">
        <f t="shared" si="65"/>
        <v>0</v>
      </c>
    </row>
    <row r="2111" spans="1:9" s="120" customFormat="1" hidden="1">
      <c r="A2111" s="1554"/>
      <c r="B2111" s="107"/>
      <c r="C2111" s="654"/>
      <c r="D2111" s="654"/>
      <c r="E2111" s="256"/>
      <c r="F2111" s="238"/>
      <c r="G2111" s="238"/>
      <c r="H2111" s="231">
        <f t="shared" si="64"/>
        <v>0</v>
      </c>
      <c r="I2111" s="231">
        <f t="shared" si="65"/>
        <v>0</v>
      </c>
    </row>
    <row r="2112" spans="1:9" s="120" customFormat="1" hidden="1">
      <c r="A2112" s="1554"/>
      <c r="B2112" s="107"/>
      <c r="C2112" s="654"/>
      <c r="D2112" s="654"/>
      <c r="E2112" s="256"/>
      <c r="F2112" s="238"/>
      <c r="G2112" s="238"/>
      <c r="H2112" s="231">
        <f t="shared" si="64"/>
        <v>0</v>
      </c>
      <c r="I2112" s="231">
        <f t="shared" si="65"/>
        <v>0</v>
      </c>
    </row>
    <row r="2113" spans="1:9" s="120" customFormat="1" hidden="1">
      <c r="A2113" s="1554"/>
      <c r="B2113" s="107"/>
      <c r="C2113" s="654"/>
      <c r="D2113" s="654"/>
      <c r="E2113" s="256"/>
      <c r="F2113" s="238"/>
      <c r="G2113" s="238"/>
      <c r="H2113" s="231">
        <f t="shared" si="64"/>
        <v>0</v>
      </c>
      <c r="I2113" s="231">
        <f t="shared" si="65"/>
        <v>0</v>
      </c>
    </row>
    <row r="2114" spans="1:9" s="120" customFormat="1" hidden="1">
      <c r="A2114" s="1554"/>
      <c r="B2114" s="107"/>
      <c r="C2114" s="654"/>
      <c r="D2114" s="654"/>
      <c r="E2114" s="256"/>
      <c r="F2114" s="238"/>
      <c r="G2114" s="238"/>
      <c r="H2114" s="231">
        <f t="shared" si="64"/>
        <v>0</v>
      </c>
      <c r="I2114" s="231">
        <f t="shared" si="65"/>
        <v>0</v>
      </c>
    </row>
    <row r="2115" spans="1:9" s="120" customFormat="1" hidden="1">
      <c r="A2115" s="1554"/>
      <c r="B2115" s="107"/>
      <c r="C2115" s="654"/>
      <c r="D2115" s="654"/>
      <c r="E2115" s="256"/>
      <c r="F2115" s="238"/>
      <c r="G2115" s="238"/>
      <c r="H2115" s="231">
        <f t="shared" si="64"/>
        <v>0</v>
      </c>
      <c r="I2115" s="231">
        <f t="shared" si="65"/>
        <v>0</v>
      </c>
    </row>
    <row r="2116" spans="1:9" s="120" customFormat="1" hidden="1">
      <c r="A2116" s="1554"/>
      <c r="B2116" s="107"/>
      <c r="C2116" s="654"/>
      <c r="D2116" s="654"/>
      <c r="E2116" s="256"/>
      <c r="F2116" s="238"/>
      <c r="G2116" s="238"/>
      <c r="H2116" s="231">
        <f t="shared" si="64"/>
        <v>0</v>
      </c>
      <c r="I2116" s="231">
        <f t="shared" si="65"/>
        <v>0</v>
      </c>
    </row>
    <row r="2117" spans="1:9" s="120" customFormat="1" hidden="1">
      <c r="A2117" s="1554"/>
      <c r="B2117" s="107"/>
      <c r="C2117" s="654"/>
      <c r="D2117" s="654"/>
      <c r="E2117" s="256"/>
      <c r="F2117" s="238"/>
      <c r="G2117" s="238"/>
      <c r="H2117" s="231">
        <f t="shared" si="64"/>
        <v>0</v>
      </c>
      <c r="I2117" s="231">
        <f t="shared" si="65"/>
        <v>0</v>
      </c>
    </row>
    <row r="2118" spans="1:9" s="120" customFormat="1" hidden="1">
      <c r="A2118" s="1554"/>
      <c r="B2118" s="107"/>
      <c r="C2118" s="654"/>
      <c r="D2118" s="654"/>
      <c r="E2118" s="256"/>
      <c r="F2118" s="238"/>
      <c r="G2118" s="238"/>
      <c r="H2118" s="231">
        <f t="shared" si="64"/>
        <v>0</v>
      </c>
      <c r="I2118" s="231">
        <f t="shared" si="65"/>
        <v>0</v>
      </c>
    </row>
    <row r="2119" spans="1:9" s="120" customFormat="1" hidden="1">
      <c r="A2119" s="1554"/>
      <c r="B2119" s="107"/>
      <c r="C2119" s="654"/>
      <c r="D2119" s="654"/>
      <c r="E2119" s="256"/>
      <c r="F2119" s="238"/>
      <c r="G2119" s="238"/>
      <c r="H2119" s="231">
        <f t="shared" si="64"/>
        <v>0</v>
      </c>
      <c r="I2119" s="231">
        <f t="shared" si="65"/>
        <v>0</v>
      </c>
    </row>
    <row r="2120" spans="1:9" s="120" customFormat="1" hidden="1">
      <c r="A2120" s="1554"/>
      <c r="B2120" s="107"/>
      <c r="C2120" s="654"/>
      <c r="D2120" s="654"/>
      <c r="E2120" s="256"/>
      <c r="F2120" s="238"/>
      <c r="G2120" s="238"/>
      <c r="H2120" s="231">
        <f t="shared" si="64"/>
        <v>0</v>
      </c>
      <c r="I2120" s="231">
        <f t="shared" si="65"/>
        <v>0</v>
      </c>
    </row>
    <row r="2121" spans="1:9" s="120" customFormat="1" hidden="1">
      <c r="A2121" s="1554"/>
      <c r="B2121" s="107"/>
      <c r="C2121" s="654"/>
      <c r="D2121" s="654"/>
      <c r="E2121" s="256"/>
      <c r="F2121" s="238"/>
      <c r="G2121" s="238"/>
      <c r="H2121" s="231">
        <f t="shared" ref="H2121:H2184" si="66">E2121+D2121-C2121</f>
        <v>0</v>
      </c>
      <c r="I2121" s="231">
        <f t="shared" ref="I2121:I2184" si="67">SUM(C2121:E2121)</f>
        <v>0</v>
      </c>
    </row>
    <row r="2122" spans="1:9" s="120" customFormat="1" hidden="1">
      <c r="A2122" s="1554"/>
      <c r="B2122" s="107"/>
      <c r="C2122" s="654"/>
      <c r="D2122" s="654"/>
      <c r="E2122" s="256"/>
      <c r="F2122" s="238"/>
      <c r="G2122" s="238"/>
      <c r="H2122" s="231">
        <f t="shared" si="66"/>
        <v>0</v>
      </c>
      <c r="I2122" s="231">
        <f t="shared" si="67"/>
        <v>0</v>
      </c>
    </row>
    <row r="2123" spans="1:9" s="120" customFormat="1" hidden="1">
      <c r="A2123" s="1554"/>
      <c r="B2123" s="107"/>
      <c r="C2123" s="654"/>
      <c r="D2123" s="654"/>
      <c r="E2123" s="256"/>
      <c r="F2123" s="238"/>
      <c r="G2123" s="238"/>
      <c r="H2123" s="231">
        <f t="shared" si="66"/>
        <v>0</v>
      </c>
      <c r="I2123" s="231">
        <f t="shared" si="67"/>
        <v>0</v>
      </c>
    </row>
    <row r="2124" spans="1:9" s="120" customFormat="1" hidden="1">
      <c r="A2124" s="1554"/>
      <c r="B2124" s="107"/>
      <c r="C2124" s="654"/>
      <c r="D2124" s="654"/>
      <c r="E2124" s="256"/>
      <c r="F2124" s="238"/>
      <c r="G2124" s="238"/>
      <c r="H2124" s="231">
        <f t="shared" si="66"/>
        <v>0</v>
      </c>
      <c r="I2124" s="231">
        <f t="shared" si="67"/>
        <v>0</v>
      </c>
    </row>
    <row r="2125" spans="1:9" s="120" customFormat="1" hidden="1">
      <c r="A2125" s="1554"/>
      <c r="B2125" s="107"/>
      <c r="C2125" s="654"/>
      <c r="D2125" s="654"/>
      <c r="E2125" s="256"/>
      <c r="F2125" s="238"/>
      <c r="G2125" s="238"/>
      <c r="H2125" s="231">
        <f t="shared" si="66"/>
        <v>0</v>
      </c>
      <c r="I2125" s="231">
        <f t="shared" si="67"/>
        <v>0</v>
      </c>
    </row>
    <row r="2126" spans="1:9" s="120" customFormat="1" hidden="1">
      <c r="A2126" s="1554"/>
      <c r="B2126" s="107"/>
      <c r="C2126" s="654"/>
      <c r="D2126" s="654"/>
      <c r="E2126" s="256"/>
      <c r="F2126" s="238"/>
      <c r="G2126" s="238"/>
      <c r="H2126" s="231">
        <f t="shared" si="66"/>
        <v>0</v>
      </c>
      <c r="I2126" s="231">
        <f t="shared" si="67"/>
        <v>0</v>
      </c>
    </row>
    <row r="2127" spans="1:9" s="120" customFormat="1" hidden="1">
      <c r="A2127" s="1554"/>
      <c r="B2127" s="107"/>
      <c r="C2127" s="654"/>
      <c r="D2127" s="654"/>
      <c r="E2127" s="256"/>
      <c r="F2127" s="238"/>
      <c r="G2127" s="238"/>
      <c r="H2127" s="231">
        <f t="shared" si="66"/>
        <v>0</v>
      </c>
      <c r="I2127" s="231">
        <f t="shared" si="67"/>
        <v>0</v>
      </c>
    </row>
    <row r="2128" spans="1:9" s="7" customFormat="1" ht="18" hidden="1" customHeight="1">
      <c r="A2128" s="1554"/>
      <c r="B2128" s="107"/>
      <c r="C2128" s="654"/>
      <c r="D2128" s="654"/>
      <c r="E2128" s="654"/>
      <c r="F2128" s="232"/>
      <c r="G2128" s="232"/>
      <c r="H2128" s="231">
        <f t="shared" si="66"/>
        <v>0</v>
      </c>
      <c r="I2128" s="231">
        <f t="shared" si="67"/>
        <v>0</v>
      </c>
    </row>
    <row r="2129" spans="1:12" s="7" customFormat="1" ht="18" hidden="1" customHeight="1">
      <c r="A2129" s="1554"/>
      <c r="B2129" s="107"/>
      <c r="C2129" s="654"/>
      <c r="D2129" s="654"/>
      <c r="E2129" s="654"/>
      <c r="F2129" s="232"/>
      <c r="G2129" s="232"/>
      <c r="H2129" s="231">
        <f t="shared" si="66"/>
        <v>0</v>
      </c>
      <c r="I2129" s="231">
        <f t="shared" si="67"/>
        <v>0</v>
      </c>
    </row>
    <row r="2130" spans="1:12" s="7" customFormat="1" ht="18" hidden="1" customHeight="1">
      <c r="A2130" s="1554"/>
      <c r="B2130" s="107"/>
      <c r="C2130" s="654"/>
      <c r="D2130" s="654"/>
      <c r="E2130" s="654"/>
      <c r="F2130" s="232"/>
      <c r="G2130" s="232"/>
      <c r="H2130" s="231">
        <f t="shared" si="66"/>
        <v>0</v>
      </c>
      <c r="I2130" s="231">
        <f t="shared" si="67"/>
        <v>0</v>
      </c>
    </row>
    <row r="2131" spans="1:12" s="7" customFormat="1" ht="18" hidden="1" customHeight="1">
      <c r="A2131" s="1554"/>
      <c r="B2131" s="107"/>
      <c r="C2131" s="654"/>
      <c r="D2131" s="654"/>
      <c r="E2131" s="654"/>
      <c r="F2131" s="232"/>
      <c r="G2131" s="232"/>
      <c r="H2131" s="231">
        <f t="shared" si="66"/>
        <v>0</v>
      </c>
      <c r="I2131" s="231">
        <f t="shared" si="67"/>
        <v>0</v>
      </c>
    </row>
    <row r="2132" spans="1:12" s="7" customFormat="1" ht="18" hidden="1" customHeight="1">
      <c r="A2132" s="1554"/>
      <c r="B2132" s="268"/>
      <c r="C2132" s="656"/>
      <c r="D2132" s="656"/>
      <c r="E2132" s="656"/>
      <c r="F2132" s="232"/>
      <c r="G2132" s="232"/>
      <c r="H2132" s="231">
        <f t="shared" si="66"/>
        <v>0</v>
      </c>
      <c r="I2132" s="231">
        <f t="shared" si="67"/>
        <v>0</v>
      </c>
    </row>
    <row r="2133" spans="1:12">
      <c r="A2133" s="1566"/>
      <c r="B2133" s="209" t="s">
        <v>985</v>
      </c>
      <c r="C2133" s="581">
        <f>SUM(C2048:C2132)</f>
        <v>1139818</v>
      </c>
      <c r="D2133" s="581">
        <f>SUM(D2048:D2132)</f>
        <v>854483</v>
      </c>
      <c r="E2133" s="581">
        <f>SUM(E2048:E2132)</f>
        <v>285335</v>
      </c>
      <c r="F2133" s="263">
        <f>SUM(F2048:F2051)</f>
        <v>0</v>
      </c>
      <c r="G2133" s="236">
        <f>SUM(G2048:G2051)</f>
        <v>0</v>
      </c>
      <c r="H2133" s="1497">
        <f t="shared" si="66"/>
        <v>0</v>
      </c>
      <c r="I2133" s="1497">
        <f t="shared" si="67"/>
        <v>2279636</v>
      </c>
      <c r="J2133" s="1440"/>
      <c r="K2133" s="1490"/>
      <c r="L2133" s="1490"/>
    </row>
    <row r="2134" spans="1:12" s="7" customFormat="1" ht="70.5" customHeight="1">
      <c r="A2134" s="1554" t="s">
        <v>1163</v>
      </c>
      <c r="B2134" s="181" t="s">
        <v>772</v>
      </c>
      <c r="C2134" s="724">
        <v>10600</v>
      </c>
      <c r="D2134" s="724">
        <v>10600</v>
      </c>
      <c r="E2134" s="724"/>
      <c r="F2134" s="237"/>
      <c r="G2134" s="237"/>
      <c r="H2134" s="1497">
        <f t="shared" si="66"/>
        <v>0</v>
      </c>
      <c r="I2134" s="1497">
        <f t="shared" si="67"/>
        <v>21200</v>
      </c>
      <c r="J2134" s="1435"/>
      <c r="K2134" s="1491"/>
      <c r="L2134" s="1491"/>
    </row>
    <row r="2135" spans="1:12" s="7" customFormat="1" ht="37.5">
      <c r="A2135" s="1554"/>
      <c r="B2135" s="480" t="s">
        <v>1273</v>
      </c>
      <c r="C2135" s="590">
        <v>226964</v>
      </c>
      <c r="D2135" s="590">
        <v>226964</v>
      </c>
      <c r="E2135" s="590"/>
      <c r="F2135" s="237"/>
      <c r="G2135" s="237"/>
      <c r="H2135" s="1497">
        <f t="shared" si="66"/>
        <v>0</v>
      </c>
      <c r="I2135" s="1497">
        <f t="shared" si="67"/>
        <v>453928</v>
      </c>
      <c r="J2135" s="1435"/>
      <c r="K2135" s="1491"/>
      <c r="L2135" s="1491"/>
    </row>
    <row r="2136" spans="1:12" s="93" customFormat="1" ht="56.25">
      <c r="A2136" s="1566"/>
      <c r="B2136" s="1213" t="s">
        <v>1378</v>
      </c>
      <c r="C2136" s="1214">
        <v>50000</v>
      </c>
      <c r="D2136" s="256"/>
      <c r="E2136" s="256">
        <v>50000</v>
      </c>
      <c r="F2136" s="239"/>
      <c r="G2136" s="239"/>
      <c r="H2136" s="1497">
        <f t="shared" si="66"/>
        <v>0</v>
      </c>
      <c r="I2136" s="1497">
        <f t="shared" si="67"/>
        <v>100000</v>
      </c>
      <c r="J2136" s="1440"/>
      <c r="K2136" s="1490"/>
      <c r="L2136" s="1490"/>
    </row>
    <row r="2137" spans="1:12" s="93" customFormat="1" ht="75">
      <c r="A2137" s="1566"/>
      <c r="B2137" s="107" t="s">
        <v>1656</v>
      </c>
      <c r="C2137" s="184">
        <v>62000</v>
      </c>
      <c r="D2137" s="184">
        <v>62000</v>
      </c>
      <c r="E2137" s="184"/>
      <c r="F2137" s="239"/>
      <c r="G2137" s="239"/>
      <c r="H2137" s="1497">
        <f t="shared" si="66"/>
        <v>0</v>
      </c>
      <c r="I2137" s="1497">
        <f t="shared" si="67"/>
        <v>124000</v>
      </c>
      <c r="J2137" s="1440"/>
      <c r="K2137" s="1490"/>
      <c r="L2137" s="1490"/>
    </row>
    <row r="2138" spans="1:12" s="93" customFormat="1" hidden="1">
      <c r="A2138" s="1566"/>
      <c r="B2138" s="107"/>
      <c r="C2138" s="645"/>
      <c r="D2138" s="646"/>
      <c r="E2138" s="646"/>
      <c r="F2138" s="239"/>
      <c r="G2138" s="239"/>
      <c r="H2138" s="231">
        <f t="shared" si="66"/>
        <v>0</v>
      </c>
      <c r="I2138" s="231">
        <f t="shared" si="67"/>
        <v>0</v>
      </c>
    </row>
    <row r="2139" spans="1:12" hidden="1">
      <c r="A2139" s="1566"/>
      <c r="B2139" s="107"/>
      <c r="C2139" s="589"/>
      <c r="D2139" s="589"/>
      <c r="E2139" s="510"/>
      <c r="F2139" s="232"/>
      <c r="G2139" s="232"/>
      <c r="H2139" s="231">
        <f t="shared" si="66"/>
        <v>0</v>
      </c>
      <c r="I2139" s="231">
        <f t="shared" si="67"/>
        <v>0</v>
      </c>
    </row>
    <row r="2140" spans="1:12" s="93" customFormat="1" hidden="1">
      <c r="A2140" s="1566"/>
      <c r="B2140" s="617"/>
      <c r="C2140" s="633"/>
      <c r="D2140" s="633"/>
      <c r="E2140" s="633"/>
      <c r="F2140" s="239"/>
      <c r="G2140" s="239"/>
      <c r="H2140" s="231">
        <f t="shared" si="66"/>
        <v>0</v>
      </c>
      <c r="I2140" s="231">
        <f t="shared" si="67"/>
        <v>0</v>
      </c>
    </row>
    <row r="2141" spans="1:12" s="93" customFormat="1" hidden="1">
      <c r="A2141" s="1566"/>
      <c r="B2141" s="107"/>
      <c r="C2141" s="649"/>
      <c r="D2141" s="649"/>
      <c r="E2141" s="256"/>
      <c r="F2141" s="239"/>
      <c r="G2141" s="239"/>
      <c r="H2141" s="231">
        <f t="shared" si="66"/>
        <v>0</v>
      </c>
      <c r="I2141" s="231">
        <f t="shared" si="67"/>
        <v>0</v>
      </c>
    </row>
    <row r="2142" spans="1:12" s="93" customFormat="1" hidden="1">
      <c r="A2142" s="1566"/>
      <c r="B2142" s="107"/>
      <c r="C2142" s="256"/>
      <c r="D2142" s="256"/>
      <c r="E2142" s="256"/>
      <c r="F2142" s="239"/>
      <c r="G2142" s="239"/>
      <c r="H2142" s="231">
        <f t="shared" si="66"/>
        <v>0</v>
      </c>
      <c r="I2142" s="231">
        <f t="shared" si="67"/>
        <v>0</v>
      </c>
    </row>
    <row r="2143" spans="1:12" s="93" customFormat="1" hidden="1">
      <c r="A2143" s="1566"/>
      <c r="B2143" s="371"/>
      <c r="C2143" s="829"/>
      <c r="D2143" s="829"/>
      <c r="E2143" s="829"/>
      <c r="F2143" s="239"/>
      <c r="G2143" s="239"/>
      <c r="H2143" s="231">
        <f t="shared" si="66"/>
        <v>0</v>
      </c>
      <c r="I2143" s="231">
        <f t="shared" si="67"/>
        <v>0</v>
      </c>
    </row>
    <row r="2144" spans="1:12" s="7" customFormat="1" hidden="1">
      <c r="A2144" s="1558"/>
      <c r="B2144" s="371"/>
      <c r="C2144" s="850"/>
      <c r="D2144" s="850"/>
      <c r="E2144" s="844"/>
      <c r="F2144" s="232"/>
      <c r="G2144" s="232"/>
      <c r="H2144" s="231">
        <f t="shared" si="66"/>
        <v>0</v>
      </c>
      <c r="I2144" s="231">
        <f t="shared" si="67"/>
        <v>0</v>
      </c>
    </row>
    <row r="2145" spans="1:9" s="7" customFormat="1" hidden="1">
      <c r="A2145" s="1558"/>
      <c r="B2145" s="107"/>
      <c r="C2145" s="654"/>
      <c r="D2145" s="654"/>
      <c r="E2145" s="256"/>
      <c r="F2145" s="232"/>
      <c r="G2145" s="232"/>
      <c r="H2145" s="231">
        <f t="shared" si="66"/>
        <v>0</v>
      </c>
      <c r="I2145" s="231">
        <f t="shared" si="67"/>
        <v>0</v>
      </c>
    </row>
    <row r="2146" spans="1:9" s="7" customFormat="1" hidden="1">
      <c r="A2146" s="1558"/>
      <c r="B2146" s="107"/>
      <c r="C2146" s="654"/>
      <c r="D2146" s="654"/>
      <c r="E2146" s="256"/>
      <c r="F2146" s="232"/>
      <c r="G2146" s="232"/>
      <c r="H2146" s="231">
        <f t="shared" si="66"/>
        <v>0</v>
      </c>
      <c r="I2146" s="231">
        <f t="shared" si="67"/>
        <v>0</v>
      </c>
    </row>
    <row r="2147" spans="1:9" s="7" customFormat="1" hidden="1">
      <c r="A2147" s="1558"/>
      <c r="B2147" s="226"/>
      <c r="C2147" s="510"/>
      <c r="D2147" s="510"/>
      <c r="E2147" s="510"/>
      <c r="F2147" s="232"/>
      <c r="G2147" s="232"/>
      <c r="H2147" s="231">
        <f t="shared" si="66"/>
        <v>0</v>
      </c>
      <c r="I2147" s="231">
        <f t="shared" si="67"/>
        <v>0</v>
      </c>
    </row>
    <row r="2148" spans="1:9" s="7" customFormat="1" hidden="1">
      <c r="A2148" s="1558"/>
      <c r="B2148" s="107"/>
      <c r="C2148" s="654"/>
      <c r="D2148" s="654"/>
      <c r="E2148" s="256"/>
      <c r="F2148" s="232"/>
      <c r="G2148" s="232"/>
      <c r="H2148" s="231">
        <f t="shared" si="66"/>
        <v>0</v>
      </c>
      <c r="I2148" s="231">
        <f t="shared" si="67"/>
        <v>0</v>
      </c>
    </row>
    <row r="2149" spans="1:9" s="85" customFormat="1" hidden="1">
      <c r="A2149" s="1558"/>
      <c r="B2149" s="107"/>
      <c r="C2149" s="654"/>
      <c r="D2149" s="654"/>
      <c r="E2149" s="256"/>
      <c r="F2149" s="239"/>
      <c r="G2149" s="239"/>
      <c r="H2149" s="231">
        <f t="shared" si="66"/>
        <v>0</v>
      </c>
      <c r="I2149" s="231">
        <f t="shared" si="67"/>
        <v>0</v>
      </c>
    </row>
    <row r="2150" spans="1:9" s="7" customFormat="1" hidden="1">
      <c r="A2150" s="1558"/>
      <c r="B2150" s="107"/>
      <c r="C2150" s="654"/>
      <c r="D2150" s="654"/>
      <c r="E2150" s="256"/>
      <c r="F2150" s="232"/>
      <c r="G2150" s="232"/>
      <c r="H2150" s="231">
        <f t="shared" si="66"/>
        <v>0</v>
      </c>
      <c r="I2150" s="231">
        <f t="shared" si="67"/>
        <v>0</v>
      </c>
    </row>
    <row r="2151" spans="1:9" s="85" customFormat="1" hidden="1">
      <c r="A2151" s="1558"/>
      <c r="B2151" s="107"/>
      <c r="C2151" s="654"/>
      <c r="D2151" s="654"/>
      <c r="E2151" s="256"/>
      <c r="F2151" s="239"/>
      <c r="G2151" s="239"/>
      <c r="H2151" s="231">
        <f t="shared" si="66"/>
        <v>0</v>
      </c>
      <c r="I2151" s="231">
        <f t="shared" si="67"/>
        <v>0</v>
      </c>
    </row>
    <row r="2152" spans="1:9" s="7" customFormat="1" hidden="1">
      <c r="A2152" s="1558"/>
      <c r="B2152" s="107"/>
      <c r="C2152" s="654"/>
      <c r="D2152" s="654"/>
      <c r="E2152" s="256"/>
      <c r="F2152" s="232"/>
      <c r="G2152" s="232"/>
      <c r="H2152" s="231">
        <f t="shared" si="66"/>
        <v>0</v>
      </c>
      <c r="I2152" s="231">
        <f t="shared" si="67"/>
        <v>0</v>
      </c>
    </row>
    <row r="2153" spans="1:9" s="7" customFormat="1" hidden="1">
      <c r="A2153" s="1558"/>
      <c r="B2153" s="107"/>
      <c r="C2153" s="654"/>
      <c r="D2153" s="654"/>
      <c r="E2153" s="256"/>
      <c r="F2153" s="232"/>
      <c r="G2153" s="232"/>
      <c r="H2153" s="231">
        <f t="shared" si="66"/>
        <v>0</v>
      </c>
      <c r="I2153" s="231">
        <f t="shared" si="67"/>
        <v>0</v>
      </c>
    </row>
    <row r="2154" spans="1:9" s="7" customFormat="1" hidden="1">
      <c r="A2154" s="1558"/>
      <c r="B2154" s="107"/>
      <c r="C2154" s="256"/>
      <c r="D2154" s="256"/>
      <c r="E2154" s="256"/>
      <c r="F2154" s="232"/>
      <c r="G2154" s="232"/>
      <c r="H2154" s="231">
        <f t="shared" si="66"/>
        <v>0</v>
      </c>
      <c r="I2154" s="231">
        <f t="shared" si="67"/>
        <v>0</v>
      </c>
    </row>
    <row r="2155" spans="1:9" s="7" customFormat="1" hidden="1">
      <c r="A2155" s="1558"/>
      <c r="B2155" s="226"/>
      <c r="C2155" s="725"/>
      <c r="D2155" s="665"/>
      <c r="E2155" s="725"/>
      <c r="F2155" s="232"/>
      <c r="G2155" s="232"/>
      <c r="H2155" s="231">
        <f t="shared" si="66"/>
        <v>0</v>
      </c>
      <c r="I2155" s="231">
        <f t="shared" si="67"/>
        <v>0</v>
      </c>
    </row>
    <row r="2156" spans="1:9" s="7" customFormat="1" hidden="1">
      <c r="A2156" s="1558"/>
      <c r="B2156" s="343"/>
      <c r="C2156" s="666"/>
      <c r="D2156" s="666"/>
      <c r="E2156" s="667"/>
      <c r="F2156" s="232"/>
      <c r="G2156" s="232"/>
      <c r="H2156" s="231">
        <f t="shared" si="66"/>
        <v>0</v>
      </c>
      <c r="I2156" s="231">
        <f t="shared" si="67"/>
        <v>0</v>
      </c>
    </row>
    <row r="2157" spans="1:9" s="7" customFormat="1" hidden="1">
      <c r="A2157" s="1558"/>
      <c r="B2157" s="343"/>
      <c r="C2157" s="666"/>
      <c r="D2157" s="666"/>
      <c r="E2157" s="667"/>
      <c r="F2157" s="232"/>
      <c r="G2157" s="232"/>
      <c r="H2157" s="231">
        <f t="shared" si="66"/>
        <v>0</v>
      </c>
      <c r="I2157" s="231">
        <f t="shared" si="67"/>
        <v>0</v>
      </c>
    </row>
    <row r="2158" spans="1:9" s="7" customFormat="1" hidden="1">
      <c r="A2158" s="1558"/>
      <c r="B2158" s="343"/>
      <c r="C2158" s="666"/>
      <c r="D2158" s="666"/>
      <c r="E2158" s="667"/>
      <c r="F2158" s="232"/>
      <c r="G2158" s="232"/>
      <c r="H2158" s="231">
        <f t="shared" si="66"/>
        <v>0</v>
      </c>
      <c r="I2158" s="231">
        <f t="shared" si="67"/>
        <v>0</v>
      </c>
    </row>
    <row r="2159" spans="1:9" s="7" customFormat="1" hidden="1">
      <c r="A2159" s="1558"/>
      <c r="B2159" s="343"/>
      <c r="C2159" s="666"/>
      <c r="D2159" s="666"/>
      <c r="E2159" s="667"/>
      <c r="F2159" s="232"/>
      <c r="G2159" s="232"/>
      <c r="H2159" s="231">
        <f t="shared" si="66"/>
        <v>0</v>
      </c>
      <c r="I2159" s="231">
        <f t="shared" si="67"/>
        <v>0</v>
      </c>
    </row>
    <row r="2160" spans="1:9" s="7" customFormat="1" hidden="1">
      <c r="A2160" s="1558"/>
      <c r="B2160" s="343"/>
      <c r="C2160" s="666"/>
      <c r="D2160" s="666"/>
      <c r="E2160" s="667"/>
      <c r="F2160" s="232"/>
      <c r="G2160" s="232"/>
      <c r="H2160" s="231">
        <f t="shared" si="66"/>
        <v>0</v>
      </c>
      <c r="I2160" s="231">
        <f t="shared" si="67"/>
        <v>0</v>
      </c>
    </row>
    <row r="2161" spans="1:9" s="7" customFormat="1" hidden="1">
      <c r="A2161" s="1558"/>
      <c r="B2161" s="343"/>
      <c r="C2161" s="666"/>
      <c r="D2161" s="666"/>
      <c r="E2161" s="667"/>
      <c r="F2161" s="232"/>
      <c r="G2161" s="232"/>
      <c r="H2161" s="231">
        <f t="shared" si="66"/>
        <v>0</v>
      </c>
      <c r="I2161" s="231">
        <f t="shared" si="67"/>
        <v>0</v>
      </c>
    </row>
    <row r="2162" spans="1:9" s="7" customFormat="1" hidden="1">
      <c r="A2162" s="1558"/>
      <c r="B2162" s="119"/>
      <c r="C2162" s="669"/>
      <c r="D2162" s="669"/>
      <c r="E2162" s="669"/>
      <c r="F2162" s="232"/>
      <c r="G2162" s="232"/>
      <c r="H2162" s="231">
        <f t="shared" si="66"/>
        <v>0</v>
      </c>
      <c r="I2162" s="231">
        <f t="shared" si="67"/>
        <v>0</v>
      </c>
    </row>
    <row r="2163" spans="1:9" s="7" customFormat="1" hidden="1">
      <c r="A2163" s="1558"/>
      <c r="B2163" s="357"/>
      <c r="C2163" s="726"/>
      <c r="D2163" s="726"/>
      <c r="E2163" s="727"/>
      <c r="F2163" s="232"/>
      <c r="G2163" s="232"/>
      <c r="H2163" s="231">
        <f t="shared" si="66"/>
        <v>0</v>
      </c>
      <c r="I2163" s="231">
        <f t="shared" si="67"/>
        <v>0</v>
      </c>
    </row>
    <row r="2164" spans="1:9" s="7" customFormat="1" hidden="1">
      <c r="A2164" s="1558"/>
      <c r="B2164" s="371"/>
      <c r="C2164" s="670"/>
      <c r="D2164" s="670"/>
      <c r="E2164" s="671"/>
      <c r="F2164" s="232"/>
      <c r="G2164" s="232"/>
      <c r="H2164" s="231">
        <f t="shared" si="66"/>
        <v>0</v>
      </c>
      <c r="I2164" s="231">
        <f t="shared" si="67"/>
        <v>0</v>
      </c>
    </row>
    <row r="2165" spans="1:9" s="7" customFormat="1" hidden="1">
      <c r="A2165" s="1558"/>
      <c r="B2165" s="352"/>
      <c r="C2165" s="670"/>
      <c r="D2165" s="670"/>
      <c r="E2165" s="671"/>
      <c r="F2165" s="232"/>
      <c r="G2165" s="232"/>
      <c r="H2165" s="231">
        <f t="shared" si="66"/>
        <v>0</v>
      </c>
      <c r="I2165" s="231">
        <f t="shared" si="67"/>
        <v>0</v>
      </c>
    </row>
    <row r="2166" spans="1:9" s="7" customFormat="1" hidden="1">
      <c r="A2166" s="1558"/>
      <c r="B2166" s="352"/>
      <c r="C2166" s="670"/>
      <c r="D2166" s="670"/>
      <c r="E2166" s="671"/>
      <c r="F2166" s="232"/>
      <c r="G2166" s="232"/>
      <c r="H2166" s="231">
        <f t="shared" si="66"/>
        <v>0</v>
      </c>
      <c r="I2166" s="231">
        <f t="shared" si="67"/>
        <v>0</v>
      </c>
    </row>
    <row r="2167" spans="1:9" s="7" customFormat="1" hidden="1">
      <c r="A2167" s="1558"/>
      <c r="B2167" s="352"/>
      <c r="C2167" s="670"/>
      <c r="D2167" s="670"/>
      <c r="E2167" s="671"/>
      <c r="F2167" s="232"/>
      <c r="G2167" s="232"/>
      <c r="H2167" s="231">
        <f t="shared" si="66"/>
        <v>0</v>
      </c>
      <c r="I2167" s="231">
        <f t="shared" si="67"/>
        <v>0</v>
      </c>
    </row>
    <row r="2168" spans="1:9" s="7" customFormat="1" hidden="1">
      <c r="A2168" s="1558"/>
      <c r="B2168" s="352"/>
      <c r="C2168" s="670"/>
      <c r="D2168" s="670"/>
      <c r="E2168" s="671"/>
      <c r="F2168" s="232"/>
      <c r="G2168" s="232"/>
      <c r="H2168" s="231">
        <f t="shared" si="66"/>
        <v>0</v>
      </c>
      <c r="I2168" s="231">
        <f t="shared" si="67"/>
        <v>0</v>
      </c>
    </row>
    <row r="2169" spans="1:9" s="7" customFormat="1" hidden="1">
      <c r="A2169" s="1558"/>
      <c r="B2169" s="352"/>
      <c r="C2169" s="670"/>
      <c r="D2169" s="670"/>
      <c r="E2169" s="671"/>
      <c r="F2169" s="232"/>
      <c r="G2169" s="232"/>
      <c r="H2169" s="231">
        <f t="shared" si="66"/>
        <v>0</v>
      </c>
      <c r="I2169" s="231">
        <f t="shared" si="67"/>
        <v>0</v>
      </c>
    </row>
    <row r="2170" spans="1:9" s="7" customFormat="1" hidden="1">
      <c r="A2170" s="1558"/>
      <c r="B2170" s="352"/>
      <c r="C2170" s="670"/>
      <c r="D2170" s="670"/>
      <c r="E2170" s="671"/>
      <c r="F2170" s="232"/>
      <c r="G2170" s="232"/>
      <c r="H2170" s="231">
        <f t="shared" si="66"/>
        <v>0</v>
      </c>
      <c r="I2170" s="231">
        <f t="shared" si="67"/>
        <v>0</v>
      </c>
    </row>
    <row r="2171" spans="1:9" s="7" customFormat="1" hidden="1">
      <c r="A2171" s="1558"/>
      <c r="B2171" s="352"/>
      <c r="C2171" s="670"/>
      <c r="D2171" s="670"/>
      <c r="E2171" s="671"/>
      <c r="F2171" s="232"/>
      <c r="G2171" s="232"/>
      <c r="H2171" s="231">
        <f t="shared" si="66"/>
        <v>0</v>
      </c>
      <c r="I2171" s="231">
        <f t="shared" si="67"/>
        <v>0</v>
      </c>
    </row>
    <row r="2172" spans="1:9" s="85" customFormat="1" hidden="1">
      <c r="A2172" s="1660"/>
      <c r="B2172" s="352"/>
      <c r="C2172" s="670"/>
      <c r="D2172" s="670"/>
      <c r="E2172" s="671"/>
      <c r="F2172" s="232"/>
      <c r="G2172" s="232"/>
      <c r="H2172" s="231">
        <f t="shared" si="66"/>
        <v>0</v>
      </c>
      <c r="I2172" s="231">
        <f t="shared" si="67"/>
        <v>0</v>
      </c>
    </row>
    <row r="2173" spans="1:9" s="7" customFormat="1" hidden="1">
      <c r="A2173" s="1558"/>
      <c r="B2173" s="352"/>
      <c r="C2173" s="670"/>
      <c r="D2173" s="670"/>
      <c r="E2173" s="671"/>
      <c r="F2173" s="232"/>
      <c r="G2173" s="232"/>
      <c r="H2173" s="231">
        <f t="shared" si="66"/>
        <v>0</v>
      </c>
      <c r="I2173" s="231">
        <f t="shared" si="67"/>
        <v>0</v>
      </c>
    </row>
    <row r="2174" spans="1:9" s="7" customFormat="1" hidden="1">
      <c r="A2174" s="1558"/>
      <c r="B2174" s="352"/>
      <c r="C2174" s="670"/>
      <c r="D2174" s="670"/>
      <c r="E2174" s="671"/>
      <c r="F2174" s="232"/>
      <c r="G2174" s="232"/>
      <c r="H2174" s="231">
        <f t="shared" si="66"/>
        <v>0</v>
      </c>
      <c r="I2174" s="231">
        <f t="shared" si="67"/>
        <v>0</v>
      </c>
    </row>
    <row r="2175" spans="1:9" s="7" customFormat="1" hidden="1">
      <c r="A2175" s="1558"/>
      <c r="B2175" s="359"/>
      <c r="C2175" s="660"/>
      <c r="D2175" s="660"/>
      <c r="E2175" s="660"/>
      <c r="F2175" s="232"/>
      <c r="G2175" s="232"/>
      <c r="H2175" s="231">
        <f t="shared" si="66"/>
        <v>0</v>
      </c>
      <c r="I2175" s="231">
        <f t="shared" si="67"/>
        <v>0</v>
      </c>
    </row>
    <row r="2176" spans="1:9" s="7" customFormat="1" hidden="1">
      <c r="A2176" s="1558"/>
      <c r="B2176" s="359"/>
      <c r="C2176" s="660"/>
      <c r="D2176" s="660"/>
      <c r="E2176" s="660"/>
      <c r="F2176" s="232"/>
      <c r="G2176" s="232"/>
      <c r="H2176" s="231">
        <f t="shared" si="66"/>
        <v>0</v>
      </c>
      <c r="I2176" s="231">
        <f t="shared" si="67"/>
        <v>0</v>
      </c>
    </row>
    <row r="2177" spans="1:9" s="7" customFormat="1" hidden="1">
      <c r="A2177" s="1558"/>
      <c r="B2177" s="359"/>
      <c r="C2177" s="660"/>
      <c r="D2177" s="660"/>
      <c r="E2177" s="660"/>
      <c r="F2177" s="232"/>
      <c r="G2177" s="232"/>
      <c r="H2177" s="231">
        <f t="shared" si="66"/>
        <v>0</v>
      </c>
      <c r="I2177" s="231">
        <f t="shared" si="67"/>
        <v>0</v>
      </c>
    </row>
    <row r="2178" spans="1:9" s="7" customFormat="1" hidden="1">
      <c r="A2178" s="1558"/>
      <c r="B2178" s="382"/>
      <c r="C2178" s="725"/>
      <c r="D2178" s="725"/>
      <c r="E2178" s="725"/>
      <c r="F2178" s="232"/>
      <c r="G2178" s="232"/>
      <c r="H2178" s="231">
        <f t="shared" si="66"/>
        <v>0</v>
      </c>
      <c r="I2178" s="231">
        <f t="shared" si="67"/>
        <v>0</v>
      </c>
    </row>
    <row r="2179" spans="1:9" s="7" customFormat="1" hidden="1">
      <c r="A2179" s="1558"/>
      <c r="B2179" s="385"/>
      <c r="C2179" s="638"/>
      <c r="D2179" s="638"/>
      <c r="E2179" s="639"/>
      <c r="F2179" s="232"/>
      <c r="G2179" s="232"/>
      <c r="H2179" s="231">
        <f t="shared" si="66"/>
        <v>0</v>
      </c>
      <c r="I2179" s="231">
        <f t="shared" si="67"/>
        <v>0</v>
      </c>
    </row>
    <row r="2180" spans="1:9" s="7" customFormat="1" hidden="1">
      <c r="A2180" s="1558"/>
      <c r="B2180" s="385"/>
      <c r="C2180" s="638"/>
      <c r="D2180" s="638"/>
      <c r="E2180" s="639"/>
      <c r="F2180" s="232"/>
      <c r="G2180" s="232"/>
      <c r="H2180" s="231">
        <f t="shared" si="66"/>
        <v>0</v>
      </c>
      <c r="I2180" s="231">
        <f t="shared" si="67"/>
        <v>0</v>
      </c>
    </row>
    <row r="2181" spans="1:9" s="7" customFormat="1" hidden="1">
      <c r="A2181" s="1558"/>
      <c r="B2181" s="385"/>
      <c r="C2181" s="638"/>
      <c r="D2181" s="638"/>
      <c r="E2181" s="639"/>
      <c r="F2181" s="232"/>
      <c r="G2181" s="232"/>
      <c r="H2181" s="231">
        <f t="shared" si="66"/>
        <v>0</v>
      </c>
      <c r="I2181" s="231">
        <f t="shared" si="67"/>
        <v>0</v>
      </c>
    </row>
    <row r="2182" spans="1:9" s="7" customFormat="1" hidden="1">
      <c r="A2182" s="1558"/>
      <c r="B2182" s="385"/>
      <c r="C2182" s="638"/>
      <c r="D2182" s="638"/>
      <c r="E2182" s="639"/>
      <c r="F2182" s="232"/>
      <c r="G2182" s="232"/>
      <c r="H2182" s="231">
        <f t="shared" si="66"/>
        <v>0</v>
      </c>
      <c r="I2182" s="231">
        <f t="shared" si="67"/>
        <v>0</v>
      </c>
    </row>
    <row r="2183" spans="1:9" s="7" customFormat="1" hidden="1">
      <c r="A2183" s="1558"/>
      <c r="B2183" s="385"/>
      <c r="C2183" s="638"/>
      <c r="D2183" s="638"/>
      <c r="E2183" s="639"/>
      <c r="F2183" s="232"/>
      <c r="G2183" s="232"/>
      <c r="H2183" s="231">
        <f t="shared" si="66"/>
        <v>0</v>
      </c>
      <c r="I2183" s="231">
        <f t="shared" si="67"/>
        <v>0</v>
      </c>
    </row>
    <row r="2184" spans="1:9" s="7" customFormat="1" hidden="1">
      <c r="A2184" s="1558"/>
      <c r="B2184" s="385"/>
      <c r="C2184" s="638"/>
      <c r="D2184" s="638"/>
      <c r="E2184" s="639"/>
      <c r="F2184" s="232"/>
      <c r="G2184" s="232"/>
      <c r="H2184" s="231">
        <f t="shared" si="66"/>
        <v>0</v>
      </c>
      <c r="I2184" s="231">
        <f t="shared" si="67"/>
        <v>0</v>
      </c>
    </row>
    <row r="2185" spans="1:9" s="7" customFormat="1" hidden="1">
      <c r="A2185" s="1558"/>
      <c r="B2185" s="385"/>
      <c r="C2185" s="638"/>
      <c r="D2185" s="638"/>
      <c r="E2185" s="639"/>
      <c r="F2185" s="232"/>
      <c r="G2185" s="232"/>
      <c r="H2185" s="231">
        <f t="shared" ref="H2185:H2248" si="68">E2185+D2185-C2185</f>
        <v>0</v>
      </c>
      <c r="I2185" s="231">
        <f t="shared" ref="I2185:I2248" si="69">SUM(C2185:E2185)</f>
        <v>0</v>
      </c>
    </row>
    <row r="2186" spans="1:9" s="7" customFormat="1" hidden="1">
      <c r="A2186" s="1558"/>
      <c r="B2186" s="385"/>
      <c r="C2186" s="638"/>
      <c r="D2186" s="638"/>
      <c r="E2186" s="639"/>
      <c r="F2186" s="232"/>
      <c r="G2186" s="232"/>
      <c r="H2186" s="231">
        <f t="shared" si="68"/>
        <v>0</v>
      </c>
      <c r="I2186" s="231">
        <f t="shared" si="69"/>
        <v>0</v>
      </c>
    </row>
    <row r="2187" spans="1:9" s="7" customFormat="1" hidden="1">
      <c r="A2187" s="1558"/>
      <c r="B2187" s="385"/>
      <c r="C2187" s="638"/>
      <c r="D2187" s="638"/>
      <c r="E2187" s="639"/>
      <c r="F2187" s="232"/>
      <c r="G2187" s="232"/>
      <c r="H2187" s="231">
        <f t="shared" si="68"/>
        <v>0</v>
      </c>
      <c r="I2187" s="231">
        <f t="shared" si="69"/>
        <v>0</v>
      </c>
    </row>
    <row r="2188" spans="1:9" s="7" customFormat="1" hidden="1">
      <c r="A2188" s="1558"/>
      <c r="B2188" s="385"/>
      <c r="C2188" s="638"/>
      <c r="D2188" s="638"/>
      <c r="E2188" s="639"/>
      <c r="F2188" s="232"/>
      <c r="G2188" s="232"/>
      <c r="H2188" s="231">
        <f t="shared" si="68"/>
        <v>0</v>
      </c>
      <c r="I2188" s="231">
        <f t="shared" si="69"/>
        <v>0</v>
      </c>
    </row>
    <row r="2189" spans="1:9" s="7" customFormat="1" hidden="1">
      <c r="A2189" s="1558"/>
      <c r="B2189" s="385"/>
      <c r="C2189" s="638"/>
      <c r="D2189" s="638"/>
      <c r="E2189" s="639"/>
      <c r="F2189" s="232"/>
      <c r="G2189" s="232"/>
      <c r="H2189" s="231">
        <f t="shared" si="68"/>
        <v>0</v>
      </c>
      <c r="I2189" s="231">
        <f t="shared" si="69"/>
        <v>0</v>
      </c>
    </row>
    <row r="2190" spans="1:9" s="7" customFormat="1" hidden="1">
      <c r="A2190" s="1558"/>
      <c r="B2190" s="385"/>
      <c r="C2190" s="638"/>
      <c r="D2190" s="638"/>
      <c r="E2190" s="639"/>
      <c r="F2190" s="232"/>
      <c r="G2190" s="232"/>
      <c r="H2190" s="231">
        <f t="shared" si="68"/>
        <v>0</v>
      </c>
      <c r="I2190" s="231">
        <f t="shared" si="69"/>
        <v>0</v>
      </c>
    </row>
    <row r="2191" spans="1:9" s="7" customFormat="1" hidden="1">
      <c r="A2191" s="1558"/>
      <c r="B2191" s="385"/>
      <c r="C2191" s="638"/>
      <c r="D2191" s="638"/>
      <c r="E2191" s="639"/>
      <c r="F2191" s="232"/>
      <c r="G2191" s="232"/>
      <c r="H2191" s="231">
        <f t="shared" si="68"/>
        <v>0</v>
      </c>
      <c r="I2191" s="231">
        <f t="shared" si="69"/>
        <v>0</v>
      </c>
    </row>
    <row r="2192" spans="1:9" s="7" customFormat="1" hidden="1">
      <c r="A2192" s="1558"/>
      <c r="B2192" s="385"/>
      <c r="C2192" s="638"/>
      <c r="D2192" s="638"/>
      <c r="E2192" s="639"/>
      <c r="F2192" s="232"/>
      <c r="G2192" s="232"/>
      <c r="H2192" s="231">
        <f t="shared" si="68"/>
        <v>0</v>
      </c>
      <c r="I2192" s="231">
        <f t="shared" si="69"/>
        <v>0</v>
      </c>
    </row>
    <row r="2193" spans="1:9" s="7" customFormat="1" hidden="1">
      <c r="A2193" s="1558"/>
      <c r="B2193" s="385"/>
      <c r="C2193" s="638"/>
      <c r="D2193" s="638"/>
      <c r="E2193" s="639"/>
      <c r="F2193" s="232"/>
      <c r="G2193" s="232"/>
      <c r="H2193" s="231">
        <f t="shared" si="68"/>
        <v>0</v>
      </c>
      <c r="I2193" s="231">
        <f t="shared" si="69"/>
        <v>0</v>
      </c>
    </row>
    <row r="2194" spans="1:9" s="7" customFormat="1" hidden="1">
      <c r="A2194" s="1554"/>
      <c r="B2194" s="385"/>
      <c r="C2194" s="638"/>
      <c r="D2194" s="638"/>
      <c r="E2194" s="639"/>
      <c r="F2194" s="232"/>
      <c r="G2194" s="232"/>
      <c r="H2194" s="231">
        <f t="shared" si="68"/>
        <v>0</v>
      </c>
      <c r="I2194" s="231">
        <f t="shared" si="69"/>
        <v>0</v>
      </c>
    </row>
    <row r="2195" spans="1:9" s="7" customFormat="1" hidden="1">
      <c r="A2195" s="1554"/>
      <c r="B2195" s="385"/>
      <c r="C2195" s="638"/>
      <c r="D2195" s="638"/>
      <c r="E2195" s="639"/>
      <c r="F2195" s="232"/>
      <c r="G2195" s="232"/>
      <c r="H2195" s="231">
        <f t="shared" si="68"/>
        <v>0</v>
      </c>
      <c r="I2195" s="231">
        <f t="shared" si="69"/>
        <v>0</v>
      </c>
    </row>
    <row r="2196" spans="1:9" s="7" customFormat="1" hidden="1">
      <c r="A2196" s="1554"/>
      <c r="B2196" s="390"/>
      <c r="C2196" s="651"/>
      <c r="D2196" s="692"/>
      <c r="E2196" s="692"/>
      <c r="F2196" s="232"/>
      <c r="G2196" s="232"/>
      <c r="H2196" s="231">
        <f t="shared" si="68"/>
        <v>0</v>
      </c>
      <c r="I2196" s="231">
        <f t="shared" si="69"/>
        <v>0</v>
      </c>
    </row>
    <row r="2197" spans="1:9" s="7" customFormat="1" hidden="1">
      <c r="A2197" s="1554"/>
      <c r="B2197" s="390"/>
      <c r="C2197" s="651"/>
      <c r="D2197" s="692"/>
      <c r="E2197" s="692"/>
      <c r="F2197" s="232"/>
      <c r="G2197" s="232"/>
      <c r="H2197" s="231">
        <f t="shared" si="68"/>
        <v>0</v>
      </c>
      <c r="I2197" s="231">
        <f t="shared" si="69"/>
        <v>0</v>
      </c>
    </row>
    <row r="2198" spans="1:9" s="7" customFormat="1" hidden="1">
      <c r="A2198" s="1554"/>
      <c r="B2198" s="390"/>
      <c r="C2198" s="651"/>
      <c r="D2198" s="692"/>
      <c r="E2198" s="692"/>
      <c r="F2198" s="232"/>
      <c r="G2198" s="232"/>
      <c r="H2198" s="231">
        <f t="shared" si="68"/>
        <v>0</v>
      </c>
      <c r="I2198" s="231">
        <f t="shared" si="69"/>
        <v>0</v>
      </c>
    </row>
    <row r="2199" spans="1:9" s="7" customFormat="1" hidden="1">
      <c r="A2199" s="1554"/>
      <c r="B2199" s="390"/>
      <c r="C2199" s="651"/>
      <c r="D2199" s="692"/>
      <c r="E2199" s="692"/>
      <c r="F2199" s="232"/>
      <c r="G2199" s="232"/>
      <c r="H2199" s="231">
        <f t="shared" si="68"/>
        <v>0</v>
      </c>
      <c r="I2199" s="231">
        <f t="shared" si="69"/>
        <v>0</v>
      </c>
    </row>
    <row r="2200" spans="1:9" s="7" customFormat="1" hidden="1">
      <c r="A2200" s="1554"/>
      <c r="B2200" s="107"/>
      <c r="C2200" s="654"/>
      <c r="D2200" s="654"/>
      <c r="E2200" s="256"/>
      <c r="F2200" s="232"/>
      <c r="G2200" s="232"/>
      <c r="H2200" s="231">
        <f t="shared" si="68"/>
        <v>0</v>
      </c>
      <c r="I2200" s="231">
        <f t="shared" si="69"/>
        <v>0</v>
      </c>
    </row>
    <row r="2201" spans="1:9" s="7" customFormat="1" hidden="1">
      <c r="A2201" s="1554"/>
      <c r="B2201" s="107"/>
      <c r="C2201" s="654"/>
      <c r="D2201" s="654"/>
      <c r="E2201" s="256"/>
      <c r="F2201" s="232"/>
      <c r="G2201" s="232"/>
      <c r="H2201" s="231">
        <f t="shared" si="68"/>
        <v>0</v>
      </c>
      <c r="I2201" s="231">
        <f t="shared" si="69"/>
        <v>0</v>
      </c>
    </row>
    <row r="2202" spans="1:9" s="7" customFormat="1" hidden="1">
      <c r="A2202" s="1554"/>
      <c r="B2202" s="107"/>
      <c r="C2202" s="654"/>
      <c r="D2202" s="654"/>
      <c r="E2202" s="256"/>
      <c r="F2202" s="232"/>
      <c r="G2202" s="232"/>
      <c r="H2202" s="231">
        <f t="shared" si="68"/>
        <v>0</v>
      </c>
      <c r="I2202" s="231">
        <f t="shared" si="69"/>
        <v>0</v>
      </c>
    </row>
    <row r="2203" spans="1:9" s="7" customFormat="1" hidden="1">
      <c r="A2203" s="1554"/>
      <c r="B2203" s="107"/>
      <c r="C2203" s="654"/>
      <c r="D2203" s="654"/>
      <c r="E2203" s="256"/>
      <c r="F2203" s="232"/>
      <c r="G2203" s="232"/>
      <c r="H2203" s="231">
        <f t="shared" si="68"/>
        <v>0</v>
      </c>
      <c r="I2203" s="231">
        <f t="shared" si="69"/>
        <v>0</v>
      </c>
    </row>
    <row r="2204" spans="1:9" s="7" customFormat="1" hidden="1">
      <c r="A2204" s="1554"/>
      <c r="B2204" s="107"/>
      <c r="C2204" s="654"/>
      <c r="D2204" s="654"/>
      <c r="E2204" s="256"/>
      <c r="F2204" s="232"/>
      <c r="G2204" s="232"/>
      <c r="H2204" s="231">
        <f t="shared" si="68"/>
        <v>0</v>
      </c>
      <c r="I2204" s="231">
        <f t="shared" si="69"/>
        <v>0</v>
      </c>
    </row>
    <row r="2205" spans="1:9" s="7" customFormat="1" hidden="1">
      <c r="A2205" s="1554"/>
      <c r="B2205" s="107"/>
      <c r="C2205" s="654"/>
      <c r="D2205" s="654"/>
      <c r="E2205" s="256"/>
      <c r="F2205" s="232"/>
      <c r="G2205" s="232"/>
      <c r="H2205" s="231">
        <f t="shared" si="68"/>
        <v>0</v>
      </c>
      <c r="I2205" s="231">
        <f t="shared" si="69"/>
        <v>0</v>
      </c>
    </row>
    <row r="2206" spans="1:9" s="7" customFormat="1" hidden="1">
      <c r="A2206" s="1554"/>
      <c r="B2206" s="107"/>
      <c r="C2206" s="654"/>
      <c r="D2206" s="654"/>
      <c r="E2206" s="256"/>
      <c r="F2206" s="232"/>
      <c r="G2206" s="232"/>
      <c r="H2206" s="231">
        <f t="shared" si="68"/>
        <v>0</v>
      </c>
      <c r="I2206" s="231">
        <f t="shared" si="69"/>
        <v>0</v>
      </c>
    </row>
    <row r="2207" spans="1:9" s="7" customFormat="1" ht="18" hidden="1" customHeight="1">
      <c r="A2207" s="1554"/>
      <c r="B2207" s="107"/>
      <c r="C2207" s="654"/>
      <c r="D2207" s="686"/>
      <c r="E2207" s="256"/>
      <c r="F2207" s="232"/>
      <c r="G2207" s="232"/>
      <c r="H2207" s="231">
        <f t="shared" si="68"/>
        <v>0</v>
      </c>
      <c r="I2207" s="231">
        <f t="shared" si="69"/>
        <v>0</v>
      </c>
    </row>
    <row r="2208" spans="1:9" s="7" customFormat="1" ht="18" hidden="1" customHeight="1">
      <c r="A2208" s="1554"/>
      <c r="B2208" s="107"/>
      <c r="C2208" s="654"/>
      <c r="D2208" s="686"/>
      <c r="E2208" s="256"/>
      <c r="F2208" s="232"/>
      <c r="G2208" s="232"/>
      <c r="H2208" s="231">
        <f t="shared" si="68"/>
        <v>0</v>
      </c>
      <c r="I2208" s="231">
        <f t="shared" si="69"/>
        <v>0</v>
      </c>
    </row>
    <row r="2209" spans="1:12" s="7" customFormat="1" ht="18" hidden="1" customHeight="1">
      <c r="A2209" s="1554"/>
      <c r="B2209" s="107"/>
      <c r="C2209" s="654"/>
      <c r="D2209" s="686"/>
      <c r="E2209" s="256"/>
      <c r="F2209" s="232"/>
      <c r="G2209" s="232"/>
      <c r="H2209" s="231">
        <f t="shared" si="68"/>
        <v>0</v>
      </c>
      <c r="I2209" s="231">
        <f t="shared" si="69"/>
        <v>0</v>
      </c>
    </row>
    <row r="2210" spans="1:12" s="7" customFormat="1" ht="18" hidden="1" customHeight="1">
      <c r="A2210" s="1554"/>
      <c r="B2210" s="107"/>
      <c r="C2210" s="654"/>
      <c r="D2210" s="686"/>
      <c r="E2210" s="256"/>
      <c r="F2210" s="232"/>
      <c r="G2210" s="232"/>
      <c r="H2210" s="231">
        <f t="shared" si="68"/>
        <v>0</v>
      </c>
      <c r="I2210" s="231">
        <f t="shared" si="69"/>
        <v>0</v>
      </c>
    </row>
    <row r="2211" spans="1:12" s="7" customFormat="1" ht="18" hidden="1" customHeight="1">
      <c r="A2211" s="1554"/>
      <c r="B2211" s="268"/>
      <c r="C2211" s="656"/>
      <c r="D2211" s="687"/>
      <c r="E2211" s="657"/>
      <c r="F2211" s="232"/>
      <c r="G2211" s="232"/>
      <c r="H2211" s="231">
        <f t="shared" si="68"/>
        <v>0</v>
      </c>
      <c r="I2211" s="231">
        <f t="shared" si="69"/>
        <v>0</v>
      </c>
    </row>
    <row r="2212" spans="1:12">
      <c r="A2212" s="1566"/>
      <c r="B2212" s="209" t="s">
        <v>985</v>
      </c>
      <c r="C2212" s="581">
        <f>SUM(C2134:C2211)</f>
        <v>349564</v>
      </c>
      <c r="D2212" s="581">
        <f>SUM(D2134:D2211)</f>
        <v>299564</v>
      </c>
      <c r="E2212" s="581">
        <f>SUM(E2134:E2211)</f>
        <v>50000</v>
      </c>
      <c r="F2212" s="263">
        <f>SUM(F2134:F2153)</f>
        <v>0</v>
      </c>
      <c r="G2212" s="236">
        <f>SUM(G2134:G2153)</f>
        <v>0</v>
      </c>
      <c r="H2212" s="1497">
        <f t="shared" si="68"/>
        <v>0</v>
      </c>
      <c r="I2212" s="1497">
        <f t="shared" si="69"/>
        <v>699128</v>
      </c>
      <c r="J2212" s="1440"/>
      <c r="K2212" s="1490"/>
      <c r="L2212" s="1490"/>
    </row>
    <row r="2213" spans="1:12" ht="75">
      <c r="A2213" s="1566" t="s">
        <v>1164</v>
      </c>
      <c r="B2213" s="181" t="s">
        <v>772</v>
      </c>
      <c r="C2213" s="589">
        <v>18800</v>
      </c>
      <c r="D2213" s="589">
        <v>18800</v>
      </c>
      <c r="E2213" s="510"/>
      <c r="F2213" s="237"/>
      <c r="G2213" s="237"/>
      <c r="H2213" s="1497">
        <f t="shared" si="68"/>
        <v>0</v>
      </c>
      <c r="I2213" s="1497">
        <f t="shared" si="69"/>
        <v>37600</v>
      </c>
      <c r="J2213" s="1440"/>
      <c r="K2213" s="1490"/>
      <c r="L2213" s="1490"/>
    </row>
    <row r="2214" spans="1:12" ht="112.5">
      <c r="A2214" s="1566"/>
      <c r="B2214" s="107" t="s">
        <v>773</v>
      </c>
      <c r="C2214" s="589">
        <v>30000</v>
      </c>
      <c r="D2214" s="589"/>
      <c r="E2214" s="510">
        <v>30000</v>
      </c>
      <c r="F2214" s="232"/>
      <c r="G2214" s="232"/>
      <c r="H2214" s="1497">
        <f t="shared" si="68"/>
        <v>0</v>
      </c>
      <c r="I2214" s="1497">
        <f t="shared" si="69"/>
        <v>60000</v>
      </c>
      <c r="J2214" s="1440"/>
      <c r="K2214" s="1490"/>
      <c r="L2214" s="1490"/>
    </row>
    <row r="2215" spans="1:12" ht="37.5">
      <c r="A2215" s="1566"/>
      <c r="B2215" s="480" t="s">
        <v>1273</v>
      </c>
      <c r="C2215" s="590">
        <v>274398</v>
      </c>
      <c r="D2215" s="590">
        <v>274398</v>
      </c>
      <c r="E2215" s="590"/>
      <c r="F2215" s="232"/>
      <c r="G2215" s="232"/>
      <c r="H2215" s="1497">
        <f t="shared" si="68"/>
        <v>0</v>
      </c>
      <c r="I2215" s="1497">
        <f t="shared" si="69"/>
        <v>548796</v>
      </c>
      <c r="J2215" s="1440"/>
      <c r="K2215" s="1490"/>
      <c r="L2215" s="1490"/>
    </row>
    <row r="2216" spans="1:12" ht="56.25">
      <c r="A2216" s="1566"/>
      <c r="B2216" s="1215" t="s">
        <v>1379</v>
      </c>
      <c r="C2216" s="1214">
        <v>20000</v>
      </c>
      <c r="D2216" s="256">
        <v>9930</v>
      </c>
      <c r="E2216" s="256">
        <v>10070</v>
      </c>
      <c r="F2216" s="232"/>
      <c r="G2216" s="232"/>
      <c r="H2216" s="1497">
        <f t="shared" si="68"/>
        <v>0</v>
      </c>
      <c r="I2216" s="1497">
        <f t="shared" si="69"/>
        <v>40000</v>
      </c>
      <c r="J2216" s="1440"/>
      <c r="K2216" s="1490"/>
      <c r="L2216" s="1490"/>
    </row>
    <row r="2217" spans="1:12" ht="75">
      <c r="A2217" s="1566"/>
      <c r="B2217" s="1215" t="s">
        <v>1380</v>
      </c>
      <c r="C2217" s="1214">
        <v>13000</v>
      </c>
      <c r="D2217" s="256">
        <v>3000</v>
      </c>
      <c r="E2217" s="256">
        <v>10000</v>
      </c>
      <c r="F2217" s="232"/>
      <c r="G2217" s="232"/>
      <c r="H2217" s="1497">
        <f t="shared" si="68"/>
        <v>0</v>
      </c>
      <c r="I2217" s="1497">
        <f t="shared" si="69"/>
        <v>26000</v>
      </c>
      <c r="J2217" s="1440"/>
      <c r="K2217" s="1490"/>
      <c r="L2217" s="1490"/>
    </row>
    <row r="2218" spans="1:12" ht="56.25">
      <c r="A2218" s="1566"/>
      <c r="B2218" s="1215" t="s">
        <v>1381</v>
      </c>
      <c r="C2218" s="1214">
        <v>15000</v>
      </c>
      <c r="D2218" s="256">
        <v>15000</v>
      </c>
      <c r="E2218" s="256"/>
      <c r="F2218" s="232"/>
      <c r="G2218" s="232"/>
      <c r="H2218" s="1497">
        <f t="shared" si="68"/>
        <v>0</v>
      </c>
      <c r="I2218" s="1497">
        <f t="shared" si="69"/>
        <v>30000</v>
      </c>
      <c r="J2218" s="1440"/>
      <c r="K2218" s="1490"/>
      <c r="L2218" s="1490"/>
    </row>
    <row r="2219" spans="1:12" ht="56.25">
      <c r="A2219" s="1566"/>
      <c r="B2219" s="1215" t="s">
        <v>1382</v>
      </c>
      <c r="C2219" s="1214">
        <v>20000</v>
      </c>
      <c r="D2219" s="256"/>
      <c r="E2219" s="256">
        <v>20000</v>
      </c>
      <c r="F2219" s="232"/>
      <c r="G2219" s="232"/>
      <c r="H2219" s="1497">
        <f t="shared" si="68"/>
        <v>0</v>
      </c>
      <c r="I2219" s="1497">
        <f t="shared" si="69"/>
        <v>40000</v>
      </c>
      <c r="J2219" s="1440"/>
      <c r="K2219" s="1490"/>
      <c r="L2219" s="1490"/>
    </row>
    <row r="2220" spans="1:12" ht="75">
      <c r="A2220" s="1566"/>
      <c r="B2220" s="1215" t="s">
        <v>1383</v>
      </c>
      <c r="C2220" s="1214">
        <v>10000</v>
      </c>
      <c r="D2220" s="256">
        <v>10000</v>
      </c>
      <c r="E2220" s="256"/>
      <c r="F2220" s="232"/>
      <c r="G2220" s="232"/>
      <c r="H2220" s="1497">
        <f t="shared" si="68"/>
        <v>0</v>
      </c>
      <c r="I2220" s="1497">
        <f t="shared" si="69"/>
        <v>20000</v>
      </c>
      <c r="J2220" s="1440"/>
      <c r="K2220" s="1490"/>
      <c r="L2220" s="1490"/>
    </row>
    <row r="2221" spans="1:12" ht="56.25">
      <c r="A2221" s="1566"/>
      <c r="B2221" s="1215" t="s">
        <v>1384</v>
      </c>
      <c r="C2221" s="1214">
        <v>10200</v>
      </c>
      <c r="D2221" s="256">
        <v>10200</v>
      </c>
      <c r="E2221" s="256"/>
      <c r="F2221" s="232"/>
      <c r="G2221" s="232"/>
      <c r="H2221" s="1497">
        <f t="shared" si="68"/>
        <v>0</v>
      </c>
      <c r="I2221" s="1497">
        <f t="shared" si="69"/>
        <v>20400</v>
      </c>
      <c r="J2221" s="1440"/>
      <c r="K2221" s="1490"/>
      <c r="L2221" s="1490"/>
    </row>
    <row r="2222" spans="1:12" ht="75">
      <c r="A2222" s="1566"/>
      <c r="B2222" s="1215" t="s">
        <v>1385</v>
      </c>
      <c r="C2222" s="1214">
        <v>14000</v>
      </c>
      <c r="D2222" s="256">
        <v>14000</v>
      </c>
      <c r="E2222" s="256"/>
      <c r="F2222" s="232"/>
      <c r="G2222" s="232"/>
      <c r="H2222" s="1497">
        <f t="shared" si="68"/>
        <v>0</v>
      </c>
      <c r="I2222" s="1497">
        <f t="shared" si="69"/>
        <v>28000</v>
      </c>
      <c r="J2222" s="1440"/>
      <c r="K2222" s="1490"/>
      <c r="L2222" s="1490"/>
    </row>
    <row r="2223" spans="1:12" ht="56.25">
      <c r="A2223" s="1566"/>
      <c r="B2223" s="1215" t="s">
        <v>1386</v>
      </c>
      <c r="C2223" s="1214">
        <v>50000</v>
      </c>
      <c r="D2223" s="256">
        <v>50000</v>
      </c>
      <c r="E2223" s="256"/>
      <c r="F2223" s="232"/>
      <c r="G2223" s="232"/>
      <c r="H2223" s="1497">
        <f t="shared" si="68"/>
        <v>0</v>
      </c>
      <c r="I2223" s="1497">
        <f t="shared" si="69"/>
        <v>100000</v>
      </c>
      <c r="J2223" s="1440"/>
      <c r="K2223" s="1490"/>
      <c r="L2223" s="1490"/>
    </row>
    <row r="2224" spans="1:12" s="93" customFormat="1" ht="37.5">
      <c r="A2224" s="1566"/>
      <c r="B2224" s="1215" t="s">
        <v>1387</v>
      </c>
      <c r="C2224" s="1214">
        <v>25000</v>
      </c>
      <c r="D2224" s="256">
        <v>25000</v>
      </c>
      <c r="E2224" s="256"/>
      <c r="F2224" s="239"/>
      <c r="G2224" s="239"/>
      <c r="H2224" s="1497">
        <f t="shared" si="68"/>
        <v>0</v>
      </c>
      <c r="I2224" s="1497">
        <f t="shared" si="69"/>
        <v>50000</v>
      </c>
      <c r="J2224" s="1440"/>
      <c r="K2224" s="1490"/>
      <c r="L2224" s="1490"/>
    </row>
    <row r="2225" spans="1:12" ht="56.25">
      <c r="A2225" s="1566"/>
      <c r="B2225" s="1215" t="s">
        <v>1388</v>
      </c>
      <c r="C2225" s="1214">
        <v>25000</v>
      </c>
      <c r="D2225" s="256">
        <v>25000</v>
      </c>
      <c r="E2225" s="256"/>
      <c r="F2225" s="232"/>
      <c r="G2225" s="232"/>
      <c r="H2225" s="1497">
        <f t="shared" si="68"/>
        <v>0</v>
      </c>
      <c r="I2225" s="1497">
        <f t="shared" si="69"/>
        <v>50000</v>
      </c>
      <c r="J2225" s="1440"/>
      <c r="K2225" s="1490"/>
      <c r="L2225" s="1490"/>
    </row>
    <row r="2226" spans="1:12" ht="56.25">
      <c r="A2226" s="1566"/>
      <c r="B2226" s="107" t="s">
        <v>1657</v>
      </c>
      <c r="C2226" s="1226">
        <v>25000</v>
      </c>
      <c r="D2226" s="1226">
        <v>25000</v>
      </c>
      <c r="E2226" s="1227"/>
      <c r="F2226" s="232"/>
      <c r="G2226" s="232"/>
      <c r="H2226" s="1497">
        <f t="shared" si="68"/>
        <v>0</v>
      </c>
      <c r="I2226" s="1497">
        <f t="shared" si="69"/>
        <v>50000</v>
      </c>
      <c r="J2226" s="1440"/>
      <c r="K2226" s="1490"/>
      <c r="L2226" s="1490"/>
    </row>
    <row r="2227" spans="1:12" ht="37.5">
      <c r="A2227" s="1566"/>
      <c r="B2227" s="107" t="s">
        <v>1658</v>
      </c>
      <c r="C2227" s="1226">
        <v>35000</v>
      </c>
      <c r="D2227" s="1226"/>
      <c r="E2227" s="1227">
        <v>35000</v>
      </c>
      <c r="F2227" s="232"/>
      <c r="G2227" s="232"/>
      <c r="H2227" s="1497">
        <f t="shared" si="68"/>
        <v>0</v>
      </c>
      <c r="I2227" s="1497">
        <f t="shared" si="69"/>
        <v>70000</v>
      </c>
      <c r="J2227" s="1440"/>
      <c r="K2227" s="1490"/>
      <c r="L2227" s="1490"/>
    </row>
    <row r="2228" spans="1:12" ht="37.5">
      <c r="A2228" s="1566"/>
      <c r="B2228" s="107" t="s">
        <v>1659</v>
      </c>
      <c r="C2228" s="817">
        <v>17400</v>
      </c>
      <c r="D2228" s="641"/>
      <c r="E2228" s="641">
        <v>17400</v>
      </c>
      <c r="F2228" s="231"/>
      <c r="G2228" s="231"/>
      <c r="H2228" s="1497">
        <f t="shared" si="68"/>
        <v>0</v>
      </c>
      <c r="I2228" s="1497">
        <f t="shared" si="69"/>
        <v>34800</v>
      </c>
      <c r="J2228" s="1440"/>
      <c r="K2228" s="1490"/>
      <c r="L2228" s="1490"/>
    </row>
    <row r="2229" spans="1:12" s="7" customFormat="1" ht="37.5">
      <c r="A2229" s="1558"/>
      <c r="B2229" s="107" t="s">
        <v>1660</v>
      </c>
      <c r="C2229" s="817">
        <v>30000</v>
      </c>
      <c r="D2229" s="641">
        <v>30000</v>
      </c>
      <c r="E2229" s="1234"/>
      <c r="F2229" s="232"/>
      <c r="G2229" s="232"/>
      <c r="H2229" s="1497">
        <f t="shared" si="68"/>
        <v>0</v>
      </c>
      <c r="I2229" s="1497">
        <f t="shared" si="69"/>
        <v>60000</v>
      </c>
      <c r="J2229" s="1435"/>
      <c r="K2229" s="1491"/>
      <c r="L2229" s="1491"/>
    </row>
    <row r="2230" spans="1:12" s="7" customFormat="1" ht="75">
      <c r="A2230" s="1558"/>
      <c r="B2230" s="107" t="s">
        <v>1661</v>
      </c>
      <c r="C2230" s="184">
        <v>15000</v>
      </c>
      <c r="D2230" s="184">
        <v>7560</v>
      </c>
      <c r="E2230" s="184">
        <v>7440</v>
      </c>
      <c r="F2230" s="232"/>
      <c r="G2230" s="232"/>
      <c r="H2230" s="1497">
        <f t="shared" si="68"/>
        <v>0</v>
      </c>
      <c r="I2230" s="1497">
        <f t="shared" si="69"/>
        <v>30000</v>
      </c>
      <c r="J2230" s="1435"/>
      <c r="K2230" s="1491"/>
      <c r="L2230" s="1491"/>
    </row>
    <row r="2231" spans="1:12" s="7" customFormat="1" ht="37.5">
      <c r="A2231" s="1558"/>
      <c r="B2231" s="107" t="s">
        <v>1662</v>
      </c>
      <c r="C2231" s="184">
        <v>2190</v>
      </c>
      <c r="D2231" s="184">
        <v>2190</v>
      </c>
      <c r="E2231" s="184"/>
      <c r="F2231" s="232"/>
      <c r="G2231" s="232"/>
      <c r="H2231" s="1497">
        <f t="shared" si="68"/>
        <v>0</v>
      </c>
      <c r="I2231" s="1497">
        <f t="shared" si="69"/>
        <v>4380</v>
      </c>
      <c r="J2231" s="1435"/>
      <c r="K2231" s="1491"/>
      <c r="L2231" s="1491"/>
    </row>
    <row r="2232" spans="1:12" s="7" customFormat="1" ht="37.5">
      <c r="A2232" s="1558"/>
      <c r="B2232" s="107" t="s">
        <v>1663</v>
      </c>
      <c r="C2232" s="184">
        <v>1600</v>
      </c>
      <c r="D2232" s="184">
        <v>1600</v>
      </c>
      <c r="E2232" s="184"/>
      <c r="F2232" s="232"/>
      <c r="G2232" s="232"/>
      <c r="H2232" s="1497">
        <f t="shared" si="68"/>
        <v>0</v>
      </c>
      <c r="I2232" s="1497">
        <f t="shared" si="69"/>
        <v>3200</v>
      </c>
      <c r="J2232" s="1435"/>
      <c r="K2232" s="1491"/>
      <c r="L2232" s="1491"/>
    </row>
    <row r="2233" spans="1:12" s="7" customFormat="1" ht="75">
      <c r="A2233" s="1558"/>
      <c r="B2233" s="107" t="s">
        <v>1664</v>
      </c>
      <c r="C2233" s="184">
        <v>10915</v>
      </c>
      <c r="D2233" s="184">
        <v>10915</v>
      </c>
      <c r="E2233" s="184"/>
      <c r="F2233" s="232"/>
      <c r="G2233" s="232"/>
      <c r="H2233" s="1497">
        <f t="shared" si="68"/>
        <v>0</v>
      </c>
      <c r="I2233" s="1497">
        <f t="shared" si="69"/>
        <v>21830</v>
      </c>
      <c r="J2233" s="1435"/>
      <c r="K2233" s="1491"/>
      <c r="L2233" s="1491"/>
    </row>
    <row r="2234" spans="1:12" s="7" customFormat="1" ht="56.25">
      <c r="A2234" s="1558"/>
      <c r="B2234" s="107" t="s">
        <v>1665</v>
      </c>
      <c r="C2234" s="184">
        <v>5920</v>
      </c>
      <c r="D2234" s="184">
        <v>5920</v>
      </c>
      <c r="E2234" s="184"/>
      <c r="F2234" s="232"/>
      <c r="G2234" s="232"/>
      <c r="H2234" s="1497">
        <f t="shared" si="68"/>
        <v>0</v>
      </c>
      <c r="I2234" s="1497">
        <f t="shared" si="69"/>
        <v>11840</v>
      </c>
      <c r="J2234" s="1435"/>
      <c r="K2234" s="1491"/>
      <c r="L2234" s="1491"/>
    </row>
    <row r="2235" spans="1:12" s="7" customFormat="1" ht="56.25">
      <c r="A2235" s="1558"/>
      <c r="B2235" s="107" t="s">
        <v>1666</v>
      </c>
      <c r="C2235" s="184">
        <v>7800</v>
      </c>
      <c r="D2235" s="184">
        <v>7800</v>
      </c>
      <c r="E2235" s="184"/>
      <c r="F2235" s="232"/>
      <c r="G2235" s="232"/>
      <c r="H2235" s="1497">
        <f t="shared" si="68"/>
        <v>0</v>
      </c>
      <c r="I2235" s="1497">
        <f t="shared" si="69"/>
        <v>15600</v>
      </c>
      <c r="J2235" s="1435"/>
      <c r="K2235" s="1491"/>
      <c r="L2235" s="1491"/>
    </row>
    <row r="2236" spans="1:12" s="7" customFormat="1" ht="56.25">
      <c r="A2236" s="1558"/>
      <c r="B2236" s="107" t="s">
        <v>1667</v>
      </c>
      <c r="C2236" s="184">
        <v>3405</v>
      </c>
      <c r="D2236" s="184">
        <v>3405</v>
      </c>
      <c r="E2236" s="184"/>
      <c r="F2236" s="232"/>
      <c r="G2236" s="232"/>
      <c r="H2236" s="1497">
        <f t="shared" si="68"/>
        <v>0</v>
      </c>
      <c r="I2236" s="1497">
        <f t="shared" si="69"/>
        <v>6810</v>
      </c>
      <c r="J2236" s="1435"/>
      <c r="K2236" s="1491"/>
      <c r="L2236" s="1491"/>
    </row>
    <row r="2237" spans="1:12" s="7" customFormat="1" ht="56.25">
      <c r="A2237" s="1558"/>
      <c r="B2237" s="107" t="s">
        <v>1668</v>
      </c>
      <c r="C2237" s="184">
        <v>28895</v>
      </c>
      <c r="D2237" s="184">
        <v>28895</v>
      </c>
      <c r="E2237" s="184"/>
      <c r="F2237" s="232"/>
      <c r="G2237" s="232"/>
      <c r="H2237" s="1497">
        <f t="shared" si="68"/>
        <v>0</v>
      </c>
      <c r="I2237" s="1497">
        <f t="shared" si="69"/>
        <v>57790</v>
      </c>
      <c r="J2237" s="1435"/>
      <c r="K2237" s="1491"/>
      <c r="L2237" s="1491"/>
    </row>
    <row r="2238" spans="1:12" s="7" customFormat="1" ht="93.75">
      <c r="A2238" s="1558"/>
      <c r="B2238" s="107" t="s">
        <v>1669</v>
      </c>
      <c r="C2238" s="184">
        <v>9728</v>
      </c>
      <c r="D2238" s="184">
        <v>9728</v>
      </c>
      <c r="E2238" s="184"/>
      <c r="F2238" s="232"/>
      <c r="G2238" s="232"/>
      <c r="H2238" s="1497">
        <f t="shared" si="68"/>
        <v>0</v>
      </c>
      <c r="I2238" s="1497">
        <f t="shared" si="69"/>
        <v>19456</v>
      </c>
      <c r="J2238" s="1435"/>
      <c r="K2238" s="1491"/>
      <c r="L2238" s="1491"/>
    </row>
    <row r="2239" spans="1:12" s="355" customFormat="1" ht="37.5">
      <c r="A2239" s="1558"/>
      <c r="B2239" s="107" t="s">
        <v>1670</v>
      </c>
      <c r="C2239" s="184">
        <v>10000</v>
      </c>
      <c r="D2239" s="184"/>
      <c r="E2239" s="184">
        <v>10000</v>
      </c>
      <c r="F2239" s="354"/>
      <c r="G2239" s="354"/>
      <c r="H2239" s="1497">
        <f t="shared" si="68"/>
        <v>0</v>
      </c>
      <c r="I2239" s="1497">
        <f t="shared" si="69"/>
        <v>20000</v>
      </c>
      <c r="J2239" s="1435"/>
      <c r="K2239" s="1491"/>
      <c r="L2239" s="1491"/>
    </row>
    <row r="2240" spans="1:12" s="355" customFormat="1" ht="75">
      <c r="A2240" s="1558"/>
      <c r="B2240" s="107" t="s">
        <v>1671</v>
      </c>
      <c r="C2240" s="184">
        <v>12000</v>
      </c>
      <c r="D2240" s="184">
        <v>12000</v>
      </c>
      <c r="E2240" s="184"/>
      <c r="F2240" s="354"/>
      <c r="G2240" s="354"/>
      <c r="H2240" s="1497">
        <f t="shared" si="68"/>
        <v>0</v>
      </c>
      <c r="I2240" s="1497">
        <f t="shared" si="69"/>
        <v>24000</v>
      </c>
      <c r="J2240" s="1435"/>
      <c r="K2240" s="1491"/>
      <c r="L2240" s="1491"/>
    </row>
    <row r="2241" spans="1:12" s="93" customFormat="1" ht="56.25">
      <c r="A2241" s="1670"/>
      <c r="B2241" s="107" t="s">
        <v>1672</v>
      </c>
      <c r="C2241" s="184">
        <v>3950</v>
      </c>
      <c r="D2241" s="184">
        <v>3950</v>
      </c>
      <c r="E2241" s="184"/>
      <c r="F2241" s="232"/>
      <c r="G2241" s="232"/>
      <c r="H2241" s="1497">
        <f t="shared" si="68"/>
        <v>0</v>
      </c>
      <c r="I2241" s="1497">
        <f t="shared" si="69"/>
        <v>7900</v>
      </c>
      <c r="J2241" s="1440"/>
      <c r="K2241" s="1490"/>
      <c r="L2241" s="1490"/>
    </row>
    <row r="2242" spans="1:12" s="7" customFormat="1" ht="75">
      <c r="A2242" s="1558"/>
      <c r="B2242" s="107" t="s">
        <v>1673</v>
      </c>
      <c r="C2242" s="184">
        <v>6340</v>
      </c>
      <c r="D2242" s="184">
        <v>6340</v>
      </c>
      <c r="E2242" s="184"/>
      <c r="F2242" s="232"/>
      <c r="G2242" s="232"/>
      <c r="H2242" s="1497">
        <f t="shared" si="68"/>
        <v>0</v>
      </c>
      <c r="I2242" s="1497">
        <f t="shared" si="69"/>
        <v>12680</v>
      </c>
      <c r="J2242" s="1435"/>
      <c r="K2242" s="1491"/>
      <c r="L2242" s="1491"/>
    </row>
    <row r="2243" spans="1:12" s="7" customFormat="1" ht="37.5">
      <c r="A2243" s="1558"/>
      <c r="B2243" s="107" t="s">
        <v>1674</v>
      </c>
      <c r="C2243" s="184">
        <v>11890</v>
      </c>
      <c r="D2243" s="184"/>
      <c r="E2243" s="184">
        <v>11890</v>
      </c>
      <c r="F2243" s="232"/>
      <c r="G2243" s="232"/>
      <c r="H2243" s="1497">
        <f t="shared" si="68"/>
        <v>0</v>
      </c>
      <c r="I2243" s="1497">
        <f t="shared" si="69"/>
        <v>23780</v>
      </c>
      <c r="J2243" s="1435"/>
      <c r="K2243" s="1491"/>
      <c r="L2243" s="1491"/>
    </row>
    <row r="2244" spans="1:12" s="7" customFormat="1" ht="56.25">
      <c r="A2244" s="1558"/>
      <c r="B2244" s="107" t="s">
        <v>1675</v>
      </c>
      <c r="C2244" s="184">
        <v>12600</v>
      </c>
      <c r="D2244" s="184"/>
      <c r="E2244" s="184">
        <v>12600</v>
      </c>
      <c r="F2244" s="232"/>
      <c r="G2244" s="232"/>
      <c r="H2244" s="1497">
        <f t="shared" si="68"/>
        <v>0</v>
      </c>
      <c r="I2244" s="1497">
        <f t="shared" si="69"/>
        <v>25200</v>
      </c>
      <c r="J2244" s="1435"/>
      <c r="K2244" s="1491"/>
      <c r="L2244" s="1491"/>
    </row>
    <row r="2245" spans="1:12" s="355" customFormat="1" ht="56.25">
      <c r="A2245" s="1558"/>
      <c r="B2245" s="107" t="s">
        <v>1676</v>
      </c>
      <c r="C2245" s="184">
        <v>3120</v>
      </c>
      <c r="D2245" s="184">
        <v>3120</v>
      </c>
      <c r="E2245" s="184"/>
      <c r="F2245" s="354"/>
      <c r="G2245" s="354"/>
      <c r="H2245" s="1497">
        <f t="shared" si="68"/>
        <v>0</v>
      </c>
      <c r="I2245" s="1497">
        <f t="shared" si="69"/>
        <v>6240</v>
      </c>
      <c r="J2245" s="1435"/>
      <c r="K2245" s="1491"/>
      <c r="L2245" s="1491"/>
    </row>
    <row r="2246" spans="1:12" s="7" customFormat="1" ht="37.5">
      <c r="A2246" s="1558"/>
      <c r="B2246" s="107" t="s">
        <v>1677</v>
      </c>
      <c r="C2246" s="184">
        <v>11000</v>
      </c>
      <c r="D2246" s="184"/>
      <c r="E2246" s="184">
        <v>11000</v>
      </c>
      <c r="F2246" s="232"/>
      <c r="G2246" s="232"/>
      <c r="H2246" s="1497">
        <f t="shared" si="68"/>
        <v>0</v>
      </c>
      <c r="I2246" s="1497">
        <f t="shared" si="69"/>
        <v>22000</v>
      </c>
      <c r="J2246" s="1435"/>
      <c r="K2246" s="1491"/>
      <c r="L2246" s="1491"/>
    </row>
    <row r="2247" spans="1:12" s="7" customFormat="1" ht="93.75">
      <c r="A2247" s="1558"/>
      <c r="B2247" s="107" t="s">
        <v>1678</v>
      </c>
      <c r="C2247" s="184">
        <v>8311</v>
      </c>
      <c r="D2247" s="184">
        <v>8311</v>
      </c>
      <c r="E2247" s="184"/>
      <c r="F2247" s="232"/>
      <c r="G2247" s="232"/>
      <c r="H2247" s="1497">
        <f t="shared" si="68"/>
        <v>0</v>
      </c>
      <c r="I2247" s="1497">
        <f t="shared" si="69"/>
        <v>16622</v>
      </c>
      <c r="J2247" s="1435"/>
      <c r="K2247" s="1491"/>
      <c r="L2247" s="1491"/>
    </row>
    <row r="2248" spans="1:12" s="7" customFormat="1" ht="56.25">
      <c r="A2248" s="1558"/>
      <c r="B2248" s="107" t="s">
        <v>1679</v>
      </c>
      <c r="C2248" s="184">
        <v>115760</v>
      </c>
      <c r="D2248" s="184">
        <v>115760</v>
      </c>
      <c r="E2248" s="184"/>
      <c r="F2248" s="232"/>
      <c r="G2248" s="232"/>
      <c r="H2248" s="1497">
        <f t="shared" si="68"/>
        <v>0</v>
      </c>
      <c r="I2248" s="1497">
        <f t="shared" si="69"/>
        <v>231520</v>
      </c>
      <c r="J2248" s="1435"/>
      <c r="K2248" s="1491"/>
      <c r="L2248" s="1491"/>
    </row>
    <row r="2249" spans="1:12" s="7" customFormat="1" ht="56.25">
      <c r="A2249" s="1558"/>
      <c r="B2249" s="107" t="s">
        <v>1680</v>
      </c>
      <c r="C2249" s="817">
        <v>1280</v>
      </c>
      <c r="D2249" s="817">
        <v>1280</v>
      </c>
      <c r="E2249" s="184"/>
      <c r="F2249" s="232"/>
      <c r="G2249" s="232"/>
      <c r="H2249" s="1497">
        <f t="shared" ref="H2249:H2312" si="70">E2249+D2249-C2249</f>
        <v>0</v>
      </c>
      <c r="I2249" s="1497">
        <f t="shared" ref="I2249:I2312" si="71">SUM(C2249:E2249)</f>
        <v>2560</v>
      </c>
      <c r="J2249" s="1435"/>
      <c r="K2249" s="1491"/>
      <c r="L2249" s="1491"/>
    </row>
    <row r="2250" spans="1:12" s="7" customFormat="1" ht="37.5">
      <c r="A2250" s="1558"/>
      <c r="B2250" s="107" t="s">
        <v>1681</v>
      </c>
      <c r="C2250" s="184">
        <v>6520</v>
      </c>
      <c r="D2250" s="184"/>
      <c r="E2250" s="184">
        <v>6520</v>
      </c>
      <c r="F2250" s="232"/>
      <c r="G2250" s="232"/>
      <c r="H2250" s="1497">
        <f t="shared" si="70"/>
        <v>0</v>
      </c>
      <c r="I2250" s="1497">
        <f t="shared" si="71"/>
        <v>13040</v>
      </c>
      <c r="J2250" s="1435"/>
      <c r="K2250" s="1491"/>
      <c r="L2250" s="1491"/>
    </row>
    <row r="2251" spans="1:12" s="7" customFormat="1" ht="56.25">
      <c r="A2251" s="1558"/>
      <c r="B2251" s="107" t="s">
        <v>1682</v>
      </c>
      <c r="C2251" s="184">
        <v>3500</v>
      </c>
      <c r="D2251" s="184">
        <v>3500</v>
      </c>
      <c r="E2251" s="184"/>
      <c r="F2251" s="232"/>
      <c r="G2251" s="232"/>
      <c r="H2251" s="1497">
        <f t="shared" si="70"/>
        <v>0</v>
      </c>
      <c r="I2251" s="1497">
        <f t="shared" si="71"/>
        <v>7000</v>
      </c>
      <c r="J2251" s="1435"/>
      <c r="K2251" s="1491"/>
      <c r="L2251" s="1491"/>
    </row>
    <row r="2252" spans="1:12" s="7" customFormat="1" ht="75">
      <c r="A2252" s="1558"/>
      <c r="B2252" s="107" t="s">
        <v>1683</v>
      </c>
      <c r="C2252" s="184">
        <v>1500</v>
      </c>
      <c r="D2252" s="184">
        <v>1500</v>
      </c>
      <c r="E2252" s="184"/>
      <c r="F2252" s="232"/>
      <c r="G2252" s="232"/>
      <c r="H2252" s="1497">
        <f t="shared" si="70"/>
        <v>0</v>
      </c>
      <c r="I2252" s="1497">
        <f t="shared" si="71"/>
        <v>3000</v>
      </c>
      <c r="J2252" s="1435"/>
      <c r="K2252" s="1491"/>
      <c r="L2252" s="1491"/>
    </row>
    <row r="2253" spans="1:12" s="7" customFormat="1" ht="75">
      <c r="A2253" s="1558"/>
      <c r="B2253" s="107" t="s">
        <v>1684</v>
      </c>
      <c r="C2253" s="184">
        <v>20000</v>
      </c>
      <c r="D2253" s="184">
        <v>20000</v>
      </c>
      <c r="E2253" s="184"/>
      <c r="F2253" s="232"/>
      <c r="G2253" s="232"/>
      <c r="H2253" s="1497">
        <f t="shared" si="70"/>
        <v>0</v>
      </c>
      <c r="I2253" s="1497">
        <f t="shared" si="71"/>
        <v>40000</v>
      </c>
      <c r="J2253" s="1435"/>
      <c r="K2253" s="1491"/>
      <c r="L2253" s="1491"/>
    </row>
    <row r="2254" spans="1:12" s="7" customFormat="1" ht="37.5">
      <c r="A2254" s="1558"/>
      <c r="B2254" s="107" t="s">
        <v>1685</v>
      </c>
      <c r="C2254" s="184">
        <v>1500</v>
      </c>
      <c r="D2254" s="184">
        <v>1500</v>
      </c>
      <c r="E2254" s="184"/>
      <c r="F2254" s="232"/>
      <c r="G2254" s="232"/>
      <c r="H2254" s="1497">
        <f t="shared" si="70"/>
        <v>0</v>
      </c>
      <c r="I2254" s="1497">
        <f t="shared" si="71"/>
        <v>3000</v>
      </c>
      <c r="J2254" s="1435"/>
      <c r="K2254" s="1491"/>
      <c r="L2254" s="1491"/>
    </row>
    <row r="2255" spans="1:12" s="7" customFormat="1" ht="37.5">
      <c r="A2255" s="1558"/>
      <c r="B2255" s="107" t="s">
        <v>1686</v>
      </c>
      <c r="C2255" s="184">
        <v>6520</v>
      </c>
      <c r="D2255" s="184"/>
      <c r="E2255" s="184">
        <v>6520</v>
      </c>
      <c r="F2255" s="232"/>
      <c r="G2255" s="232"/>
      <c r="H2255" s="1497">
        <f t="shared" si="70"/>
        <v>0</v>
      </c>
      <c r="I2255" s="1497">
        <f t="shared" si="71"/>
        <v>13040</v>
      </c>
      <c r="J2255" s="1435"/>
      <c r="K2255" s="1491"/>
      <c r="L2255" s="1491"/>
    </row>
    <row r="2256" spans="1:12" s="7" customFormat="1" ht="56.25">
      <c r="A2256" s="1558"/>
      <c r="B2256" s="107" t="s">
        <v>1687</v>
      </c>
      <c r="C2256" s="817">
        <v>20000</v>
      </c>
      <c r="D2256" s="817">
        <v>20000</v>
      </c>
      <c r="E2256" s="1234"/>
      <c r="F2256" s="232"/>
      <c r="G2256" s="232"/>
      <c r="H2256" s="1497">
        <f t="shared" si="70"/>
        <v>0</v>
      </c>
      <c r="I2256" s="1497">
        <f t="shared" si="71"/>
        <v>40000</v>
      </c>
      <c r="J2256" s="1435"/>
      <c r="K2256" s="1491"/>
      <c r="L2256" s="1491"/>
    </row>
    <row r="2257" spans="1:12" s="7" customFormat="1" ht="37.5">
      <c r="A2257" s="1558"/>
      <c r="B2257" s="107" t="s">
        <v>1688</v>
      </c>
      <c r="C2257" s="817">
        <v>10000</v>
      </c>
      <c r="D2257" s="817">
        <v>10000</v>
      </c>
      <c r="E2257" s="1234"/>
      <c r="F2257" s="232"/>
      <c r="G2257" s="232"/>
      <c r="H2257" s="1497">
        <f t="shared" si="70"/>
        <v>0</v>
      </c>
      <c r="I2257" s="1497">
        <f t="shared" si="71"/>
        <v>20000</v>
      </c>
      <c r="J2257" s="1435"/>
      <c r="K2257" s="1491"/>
      <c r="L2257" s="1491"/>
    </row>
    <row r="2258" spans="1:12" s="7" customFormat="1" hidden="1">
      <c r="A2258" s="1558"/>
      <c r="B2258" s="371"/>
      <c r="C2258" s="604"/>
      <c r="D2258" s="604"/>
      <c r="E2258" s="648"/>
      <c r="F2258" s="232"/>
      <c r="G2258" s="232"/>
      <c r="H2258" s="231">
        <f t="shared" si="70"/>
        <v>0</v>
      </c>
      <c r="I2258" s="231">
        <f t="shared" si="71"/>
        <v>0</v>
      </c>
    </row>
    <row r="2259" spans="1:12" s="7" customFormat="1" hidden="1">
      <c r="A2259" s="1558"/>
      <c r="B2259" s="617"/>
      <c r="C2259" s="633"/>
      <c r="D2259" s="633"/>
      <c r="E2259" s="633"/>
      <c r="F2259" s="232"/>
      <c r="G2259" s="232"/>
      <c r="H2259" s="231">
        <f t="shared" si="70"/>
        <v>0</v>
      </c>
      <c r="I2259" s="231">
        <f t="shared" si="71"/>
        <v>0</v>
      </c>
    </row>
    <row r="2260" spans="1:12" s="7" customFormat="1" hidden="1">
      <c r="A2260" s="1558"/>
      <c r="B2260" s="617"/>
      <c r="C2260" s="633"/>
      <c r="D2260" s="633"/>
      <c r="E2260" s="633"/>
      <c r="F2260" s="232"/>
      <c r="G2260" s="232"/>
      <c r="H2260" s="231">
        <f t="shared" si="70"/>
        <v>0</v>
      </c>
      <c r="I2260" s="231">
        <f t="shared" si="71"/>
        <v>0</v>
      </c>
    </row>
    <row r="2261" spans="1:12" s="7" customFormat="1" hidden="1">
      <c r="A2261" s="1558"/>
      <c r="B2261" s="617"/>
      <c r="C2261" s="633"/>
      <c r="D2261" s="633"/>
      <c r="E2261" s="633"/>
      <c r="F2261" s="232"/>
      <c r="G2261" s="232"/>
      <c r="H2261" s="231">
        <f t="shared" si="70"/>
        <v>0</v>
      </c>
      <c r="I2261" s="231">
        <f t="shared" si="71"/>
        <v>0</v>
      </c>
    </row>
    <row r="2262" spans="1:12" s="7" customFormat="1" hidden="1">
      <c r="A2262" s="1558"/>
      <c r="B2262" s="642"/>
      <c r="C2262" s="256"/>
      <c r="D2262" s="700"/>
      <c r="E2262" s="700"/>
      <c r="F2262" s="232"/>
      <c r="G2262" s="232"/>
      <c r="H2262" s="231">
        <f t="shared" si="70"/>
        <v>0</v>
      </c>
      <c r="I2262" s="231">
        <f t="shared" si="71"/>
        <v>0</v>
      </c>
    </row>
    <row r="2263" spans="1:12" s="7" customFormat="1" hidden="1">
      <c r="A2263" s="1558"/>
      <c r="B2263" s="107"/>
      <c r="C2263" s="649"/>
      <c r="D2263" s="649"/>
      <c r="E2263" s="256"/>
      <c r="F2263" s="232"/>
      <c r="G2263" s="232"/>
      <c r="H2263" s="231">
        <f t="shared" si="70"/>
        <v>0</v>
      </c>
      <c r="I2263" s="231">
        <f t="shared" si="71"/>
        <v>0</v>
      </c>
    </row>
    <row r="2264" spans="1:12" s="7" customFormat="1" hidden="1">
      <c r="A2264" s="1558"/>
      <c r="B2264" s="107"/>
      <c r="C2264" s="649"/>
      <c r="D2264" s="649"/>
      <c r="E2264" s="256"/>
      <c r="F2264" s="232"/>
      <c r="G2264" s="232"/>
      <c r="H2264" s="231">
        <f t="shared" si="70"/>
        <v>0</v>
      </c>
      <c r="I2264" s="231">
        <f t="shared" si="71"/>
        <v>0</v>
      </c>
    </row>
    <row r="2265" spans="1:12" s="7" customFormat="1" hidden="1">
      <c r="A2265" s="1558"/>
      <c r="B2265" s="107"/>
      <c r="C2265" s="649"/>
      <c r="D2265" s="649"/>
      <c r="E2265" s="256"/>
      <c r="F2265" s="232"/>
      <c r="G2265" s="232"/>
      <c r="H2265" s="231">
        <f t="shared" si="70"/>
        <v>0</v>
      </c>
      <c r="I2265" s="231">
        <f t="shared" si="71"/>
        <v>0</v>
      </c>
    </row>
    <row r="2266" spans="1:12" s="7" customFormat="1" hidden="1">
      <c r="A2266" s="1558"/>
      <c r="B2266" s="107"/>
      <c r="C2266" s="649"/>
      <c r="D2266" s="649"/>
      <c r="E2266" s="256"/>
      <c r="F2266" s="232"/>
      <c r="G2266" s="232"/>
      <c r="H2266" s="231">
        <f t="shared" si="70"/>
        <v>0</v>
      </c>
      <c r="I2266" s="231">
        <f t="shared" si="71"/>
        <v>0</v>
      </c>
    </row>
    <row r="2267" spans="1:12" s="7" customFormat="1" hidden="1">
      <c r="A2267" s="1558"/>
      <c r="B2267" s="107"/>
      <c r="C2267" s="649"/>
      <c r="D2267" s="649"/>
      <c r="E2267" s="256"/>
      <c r="F2267" s="232"/>
      <c r="G2267" s="232"/>
      <c r="H2267" s="231">
        <f t="shared" si="70"/>
        <v>0</v>
      </c>
      <c r="I2267" s="231">
        <f t="shared" si="71"/>
        <v>0</v>
      </c>
    </row>
    <row r="2268" spans="1:12" s="7" customFormat="1" hidden="1">
      <c r="A2268" s="1558"/>
      <c r="B2268" s="107"/>
      <c r="C2268" s="649"/>
      <c r="D2268" s="649"/>
      <c r="E2268" s="256"/>
      <c r="F2268" s="232"/>
      <c r="G2268" s="232"/>
      <c r="H2268" s="231">
        <f t="shared" si="70"/>
        <v>0</v>
      </c>
      <c r="I2268" s="231">
        <f t="shared" si="71"/>
        <v>0</v>
      </c>
    </row>
    <row r="2269" spans="1:12" s="7" customFormat="1" hidden="1">
      <c r="A2269" s="1558"/>
      <c r="B2269" s="107"/>
      <c r="C2269" s="649"/>
      <c r="D2269" s="649"/>
      <c r="E2269" s="256"/>
      <c r="F2269" s="232"/>
      <c r="G2269" s="232"/>
      <c r="H2269" s="231">
        <f t="shared" si="70"/>
        <v>0</v>
      </c>
      <c r="I2269" s="231">
        <f t="shared" si="71"/>
        <v>0</v>
      </c>
    </row>
    <row r="2270" spans="1:12" s="7" customFormat="1" hidden="1">
      <c r="A2270" s="1558"/>
      <c r="B2270" s="107"/>
      <c r="C2270" s="649"/>
      <c r="D2270" s="649"/>
      <c r="E2270" s="256"/>
      <c r="F2270" s="232"/>
      <c r="G2270" s="232"/>
      <c r="H2270" s="231">
        <f t="shared" si="70"/>
        <v>0</v>
      </c>
      <c r="I2270" s="231">
        <f t="shared" si="71"/>
        <v>0</v>
      </c>
    </row>
    <row r="2271" spans="1:12" s="7" customFormat="1" hidden="1">
      <c r="A2271" s="1558"/>
      <c r="B2271" s="107"/>
      <c r="C2271" s="256"/>
      <c r="D2271" s="256"/>
      <c r="E2271" s="256"/>
      <c r="F2271" s="232"/>
      <c r="G2271" s="232"/>
      <c r="H2271" s="231">
        <f t="shared" si="70"/>
        <v>0</v>
      </c>
      <c r="I2271" s="231">
        <f t="shared" si="71"/>
        <v>0</v>
      </c>
    </row>
    <row r="2272" spans="1:12" s="7" customFormat="1" hidden="1">
      <c r="A2272" s="1558"/>
      <c r="B2272" s="107"/>
      <c r="C2272" s="256"/>
      <c r="D2272" s="256"/>
      <c r="E2272" s="256"/>
      <c r="F2272" s="232"/>
      <c r="G2272" s="232"/>
      <c r="H2272" s="231">
        <f t="shared" si="70"/>
        <v>0</v>
      </c>
      <c r="I2272" s="231">
        <f t="shared" si="71"/>
        <v>0</v>
      </c>
    </row>
    <row r="2273" spans="1:9" s="7" customFormat="1" hidden="1">
      <c r="A2273" s="1558"/>
      <c r="B2273" s="107"/>
      <c r="C2273" s="256"/>
      <c r="D2273" s="256"/>
      <c r="E2273" s="256"/>
      <c r="F2273" s="232"/>
      <c r="G2273" s="232"/>
      <c r="H2273" s="231">
        <f t="shared" si="70"/>
        <v>0</v>
      </c>
      <c r="I2273" s="231">
        <f t="shared" si="71"/>
        <v>0</v>
      </c>
    </row>
    <row r="2274" spans="1:9" s="7" customFormat="1" hidden="1">
      <c r="A2274" s="1558"/>
      <c r="B2274" s="107"/>
      <c r="C2274" s="256"/>
      <c r="D2274" s="256"/>
      <c r="E2274" s="256"/>
      <c r="F2274" s="232"/>
      <c r="G2274" s="232"/>
      <c r="H2274" s="231">
        <f t="shared" si="70"/>
        <v>0</v>
      </c>
      <c r="I2274" s="231">
        <f t="shared" si="71"/>
        <v>0</v>
      </c>
    </row>
    <row r="2275" spans="1:9" s="7" customFormat="1" hidden="1">
      <c r="A2275" s="1558"/>
      <c r="B2275" s="107"/>
      <c r="C2275" s="256"/>
      <c r="D2275" s="256"/>
      <c r="E2275" s="256"/>
      <c r="F2275" s="232"/>
      <c r="G2275" s="232"/>
      <c r="H2275" s="231">
        <f t="shared" si="70"/>
        <v>0</v>
      </c>
      <c r="I2275" s="231">
        <f t="shared" si="71"/>
        <v>0</v>
      </c>
    </row>
    <row r="2276" spans="1:9" s="7" customFormat="1" hidden="1">
      <c r="A2276" s="1558"/>
      <c r="B2276" s="107"/>
      <c r="C2276" s="256"/>
      <c r="D2276" s="256"/>
      <c r="E2276" s="256"/>
      <c r="F2276" s="232"/>
      <c r="G2276" s="232"/>
      <c r="H2276" s="231">
        <f t="shared" si="70"/>
        <v>0</v>
      </c>
      <c r="I2276" s="231">
        <f t="shared" si="71"/>
        <v>0</v>
      </c>
    </row>
    <row r="2277" spans="1:9" s="7" customFormat="1" hidden="1">
      <c r="A2277" s="1558"/>
      <c r="B2277" s="107"/>
      <c r="C2277" s="256"/>
      <c r="D2277" s="256"/>
      <c r="E2277" s="256"/>
      <c r="F2277" s="232"/>
      <c r="G2277" s="232"/>
      <c r="H2277" s="231">
        <f t="shared" si="70"/>
        <v>0</v>
      </c>
      <c r="I2277" s="231">
        <f t="shared" si="71"/>
        <v>0</v>
      </c>
    </row>
    <row r="2278" spans="1:9" s="7" customFormat="1" hidden="1">
      <c r="A2278" s="1558"/>
      <c r="B2278" s="107"/>
      <c r="C2278" s="256"/>
      <c r="D2278" s="256"/>
      <c r="E2278" s="256"/>
      <c r="F2278" s="232"/>
      <c r="G2278" s="232"/>
      <c r="H2278" s="231">
        <f t="shared" si="70"/>
        <v>0</v>
      </c>
      <c r="I2278" s="231">
        <f t="shared" si="71"/>
        <v>0</v>
      </c>
    </row>
    <row r="2279" spans="1:9" s="7" customFormat="1" hidden="1">
      <c r="A2279" s="1558"/>
      <c r="B2279" s="107"/>
      <c r="C2279" s="256"/>
      <c r="D2279" s="256"/>
      <c r="E2279" s="256"/>
      <c r="F2279" s="232"/>
      <c r="G2279" s="232"/>
      <c r="H2279" s="231">
        <f t="shared" si="70"/>
        <v>0</v>
      </c>
      <c r="I2279" s="231">
        <f t="shared" si="71"/>
        <v>0</v>
      </c>
    </row>
    <row r="2280" spans="1:9" s="7" customFormat="1" hidden="1">
      <c r="A2280" s="1558"/>
      <c r="B2280" s="107"/>
      <c r="C2280" s="256"/>
      <c r="D2280" s="256"/>
      <c r="E2280" s="256"/>
      <c r="F2280" s="232"/>
      <c r="G2280" s="232"/>
      <c r="H2280" s="231">
        <f t="shared" si="70"/>
        <v>0</v>
      </c>
      <c r="I2280" s="231">
        <f t="shared" si="71"/>
        <v>0</v>
      </c>
    </row>
    <row r="2281" spans="1:9" s="7" customFormat="1" hidden="1">
      <c r="A2281" s="1558"/>
      <c r="B2281" s="107"/>
      <c r="C2281" s="256"/>
      <c r="D2281" s="256"/>
      <c r="E2281" s="256"/>
      <c r="F2281" s="232"/>
      <c r="G2281" s="232"/>
      <c r="H2281" s="231">
        <f t="shared" si="70"/>
        <v>0</v>
      </c>
      <c r="I2281" s="231">
        <f t="shared" si="71"/>
        <v>0</v>
      </c>
    </row>
    <row r="2282" spans="1:9" s="7" customFormat="1" hidden="1">
      <c r="A2282" s="1558"/>
      <c r="B2282" s="107"/>
      <c r="C2282" s="256"/>
      <c r="D2282" s="256"/>
      <c r="E2282" s="256"/>
      <c r="F2282" s="232"/>
      <c r="G2282" s="232"/>
      <c r="H2282" s="231">
        <f t="shared" si="70"/>
        <v>0</v>
      </c>
      <c r="I2282" s="231">
        <f t="shared" si="71"/>
        <v>0</v>
      </c>
    </row>
    <row r="2283" spans="1:9" s="7" customFormat="1" hidden="1">
      <c r="A2283" s="1558"/>
      <c r="B2283" s="782"/>
      <c r="C2283" s="784"/>
      <c r="D2283" s="784"/>
      <c r="E2283" s="784"/>
      <c r="F2283" s="232"/>
      <c r="G2283" s="232"/>
      <c r="H2283" s="231">
        <f t="shared" si="70"/>
        <v>0</v>
      </c>
      <c r="I2283" s="231">
        <f t="shared" si="71"/>
        <v>0</v>
      </c>
    </row>
    <row r="2284" spans="1:9" s="7" customFormat="1" hidden="1">
      <c r="A2284" s="1558"/>
      <c r="B2284" s="773"/>
      <c r="C2284" s="771"/>
      <c r="D2284" s="771"/>
      <c r="E2284" s="784"/>
      <c r="F2284" s="232"/>
      <c r="G2284" s="232"/>
      <c r="H2284" s="231">
        <f t="shared" si="70"/>
        <v>0</v>
      </c>
      <c r="I2284" s="231">
        <f t="shared" si="71"/>
        <v>0</v>
      </c>
    </row>
    <row r="2285" spans="1:9" s="7" customFormat="1" hidden="1">
      <c r="A2285" s="1558"/>
      <c r="B2285" s="773"/>
      <c r="C2285" s="771"/>
      <c r="D2285" s="771"/>
      <c r="E2285" s="784"/>
      <c r="F2285" s="232"/>
      <c r="G2285" s="232"/>
      <c r="H2285" s="231">
        <f t="shared" si="70"/>
        <v>0</v>
      </c>
      <c r="I2285" s="231">
        <f t="shared" si="71"/>
        <v>0</v>
      </c>
    </row>
    <row r="2286" spans="1:9" s="7" customFormat="1" hidden="1">
      <c r="A2286" s="1558"/>
      <c r="B2286" s="773"/>
      <c r="C2286" s="771"/>
      <c r="D2286" s="771"/>
      <c r="E2286" s="784"/>
      <c r="F2286" s="232"/>
      <c r="G2286" s="232"/>
      <c r="H2286" s="231">
        <f t="shared" si="70"/>
        <v>0</v>
      </c>
      <c r="I2286" s="231">
        <f t="shared" si="71"/>
        <v>0</v>
      </c>
    </row>
    <row r="2287" spans="1:9" s="7" customFormat="1" hidden="1">
      <c r="A2287" s="1558"/>
      <c r="B2287" s="107"/>
      <c r="C2287" s="256"/>
      <c r="D2287" s="256"/>
      <c r="E2287" s="256"/>
      <c r="F2287" s="232"/>
      <c r="G2287" s="232"/>
      <c r="H2287" s="231">
        <f t="shared" si="70"/>
        <v>0</v>
      </c>
      <c r="I2287" s="231">
        <f t="shared" si="71"/>
        <v>0</v>
      </c>
    </row>
    <row r="2288" spans="1:9" s="7" customFormat="1" hidden="1">
      <c r="A2288" s="1558"/>
      <c r="B2288" s="107"/>
      <c r="C2288" s="256"/>
      <c r="D2288" s="256"/>
      <c r="E2288" s="256"/>
      <c r="F2288" s="232"/>
      <c r="G2288" s="232"/>
      <c r="H2288" s="231">
        <f t="shared" si="70"/>
        <v>0</v>
      </c>
      <c r="I2288" s="231">
        <f t="shared" si="71"/>
        <v>0</v>
      </c>
    </row>
    <row r="2289" spans="1:9" s="7" customFormat="1" hidden="1">
      <c r="A2289" s="1558"/>
      <c r="B2289" s="107"/>
      <c r="C2289" s="256"/>
      <c r="D2289" s="256"/>
      <c r="E2289" s="256"/>
      <c r="F2289" s="232"/>
      <c r="G2289" s="232"/>
      <c r="H2289" s="231">
        <f t="shared" si="70"/>
        <v>0</v>
      </c>
      <c r="I2289" s="231">
        <f t="shared" si="71"/>
        <v>0</v>
      </c>
    </row>
    <row r="2290" spans="1:9" s="7" customFormat="1" hidden="1">
      <c r="A2290" s="1558"/>
      <c r="B2290" s="107"/>
      <c r="C2290" s="649"/>
      <c r="D2290" s="649"/>
      <c r="E2290" s="256"/>
      <c r="F2290" s="232"/>
      <c r="G2290" s="232"/>
      <c r="H2290" s="231">
        <f t="shared" si="70"/>
        <v>0</v>
      </c>
      <c r="I2290" s="231">
        <f t="shared" si="71"/>
        <v>0</v>
      </c>
    </row>
    <row r="2291" spans="1:9" s="7" customFormat="1" hidden="1">
      <c r="A2291" s="1558"/>
      <c r="B2291" s="107"/>
      <c r="C2291" s="649"/>
      <c r="D2291" s="649"/>
      <c r="E2291" s="256"/>
      <c r="F2291" s="232"/>
      <c r="G2291" s="232"/>
      <c r="H2291" s="231">
        <f t="shared" si="70"/>
        <v>0</v>
      </c>
      <c r="I2291" s="231">
        <f t="shared" si="71"/>
        <v>0</v>
      </c>
    </row>
    <row r="2292" spans="1:9" s="7" customFormat="1" hidden="1">
      <c r="A2292" s="1558"/>
      <c r="B2292" s="107"/>
      <c r="C2292" s="256"/>
      <c r="D2292" s="256"/>
      <c r="E2292" s="256"/>
      <c r="F2292" s="232"/>
      <c r="G2292" s="232"/>
      <c r="H2292" s="231">
        <f t="shared" si="70"/>
        <v>0</v>
      </c>
      <c r="I2292" s="231">
        <f t="shared" si="71"/>
        <v>0</v>
      </c>
    </row>
    <row r="2293" spans="1:9" s="7" customFormat="1" hidden="1">
      <c r="A2293" s="1558"/>
      <c r="B2293" s="107"/>
      <c r="C2293" s="649"/>
      <c r="D2293" s="649"/>
      <c r="E2293" s="256"/>
      <c r="F2293" s="232"/>
      <c r="G2293" s="232"/>
      <c r="H2293" s="231">
        <f t="shared" si="70"/>
        <v>0</v>
      </c>
      <c r="I2293" s="231">
        <f t="shared" si="71"/>
        <v>0</v>
      </c>
    </row>
    <row r="2294" spans="1:9" s="7" customFormat="1" hidden="1">
      <c r="A2294" s="1558"/>
      <c r="B2294" s="371"/>
      <c r="C2294" s="665"/>
      <c r="D2294" s="665"/>
      <c r="E2294" s="665"/>
      <c r="F2294" s="232"/>
      <c r="G2294" s="232"/>
      <c r="H2294" s="231">
        <f t="shared" si="70"/>
        <v>0</v>
      </c>
      <c r="I2294" s="231">
        <f t="shared" si="71"/>
        <v>0</v>
      </c>
    </row>
    <row r="2295" spans="1:9" s="7" customFormat="1" hidden="1">
      <c r="A2295" s="1558"/>
      <c r="B2295" s="371"/>
      <c r="C2295" s="831"/>
      <c r="D2295" s="831"/>
      <c r="E2295" s="831"/>
      <c r="F2295" s="232"/>
      <c r="G2295" s="232"/>
      <c r="H2295" s="231">
        <f t="shared" si="70"/>
        <v>0</v>
      </c>
      <c r="I2295" s="231">
        <f t="shared" si="71"/>
        <v>0</v>
      </c>
    </row>
    <row r="2296" spans="1:9" s="7" customFormat="1" hidden="1">
      <c r="A2296" s="1558"/>
      <c r="B2296" s="371"/>
      <c r="C2296" s="831"/>
      <c r="D2296" s="831"/>
      <c r="E2296" s="831"/>
      <c r="F2296" s="232"/>
      <c r="G2296" s="232"/>
      <c r="H2296" s="231">
        <f t="shared" si="70"/>
        <v>0</v>
      </c>
      <c r="I2296" s="231">
        <f t="shared" si="71"/>
        <v>0</v>
      </c>
    </row>
    <row r="2297" spans="1:9" s="7" customFormat="1" hidden="1">
      <c r="A2297" s="1558"/>
      <c r="B2297" s="371"/>
      <c r="C2297" s="831"/>
      <c r="D2297" s="831"/>
      <c r="E2297" s="831"/>
      <c r="F2297" s="232"/>
      <c r="G2297" s="232"/>
      <c r="H2297" s="231">
        <f t="shared" si="70"/>
        <v>0</v>
      </c>
      <c r="I2297" s="231">
        <f t="shared" si="71"/>
        <v>0</v>
      </c>
    </row>
    <row r="2298" spans="1:9" s="7" customFormat="1" hidden="1">
      <c r="A2298" s="1558"/>
      <c r="B2298" s="371"/>
      <c r="C2298" s="665"/>
      <c r="D2298" s="665"/>
      <c r="E2298" s="665"/>
      <c r="F2298" s="232"/>
      <c r="G2298" s="232"/>
      <c r="H2298" s="231">
        <f t="shared" si="70"/>
        <v>0</v>
      </c>
      <c r="I2298" s="231">
        <f t="shared" si="71"/>
        <v>0</v>
      </c>
    </row>
    <row r="2299" spans="1:9" s="7" customFormat="1" hidden="1">
      <c r="A2299" s="1558"/>
      <c r="B2299" s="371"/>
      <c r="C2299" s="831"/>
      <c r="D2299" s="831"/>
      <c r="E2299" s="831"/>
      <c r="F2299" s="232"/>
      <c r="G2299" s="232"/>
      <c r="H2299" s="231">
        <f t="shared" si="70"/>
        <v>0</v>
      </c>
      <c r="I2299" s="231">
        <f t="shared" si="71"/>
        <v>0</v>
      </c>
    </row>
    <row r="2300" spans="1:9" s="7" customFormat="1" hidden="1">
      <c r="A2300" s="1558"/>
      <c r="B2300" s="371"/>
      <c r="C2300" s="831"/>
      <c r="D2300" s="831"/>
      <c r="E2300" s="831"/>
      <c r="F2300" s="232"/>
      <c r="G2300" s="232"/>
      <c r="H2300" s="231">
        <f t="shared" si="70"/>
        <v>0</v>
      </c>
      <c r="I2300" s="231">
        <f t="shared" si="71"/>
        <v>0</v>
      </c>
    </row>
    <row r="2301" spans="1:9" s="7" customFormat="1" hidden="1">
      <c r="A2301" s="1558"/>
      <c r="B2301" s="371"/>
      <c r="C2301" s="665"/>
      <c r="D2301" s="665"/>
      <c r="E2301" s="665"/>
      <c r="F2301" s="232"/>
      <c r="G2301" s="232"/>
      <c r="H2301" s="231">
        <f t="shared" si="70"/>
        <v>0</v>
      </c>
      <c r="I2301" s="231">
        <f t="shared" si="71"/>
        <v>0</v>
      </c>
    </row>
    <row r="2302" spans="1:9" s="7" customFormat="1" hidden="1">
      <c r="A2302" s="1558"/>
      <c r="B2302" s="371"/>
      <c r="C2302" s="831"/>
      <c r="D2302" s="831"/>
      <c r="E2302" s="831"/>
      <c r="F2302" s="232"/>
      <c r="G2302" s="232"/>
      <c r="H2302" s="231">
        <f t="shared" si="70"/>
        <v>0</v>
      </c>
      <c r="I2302" s="231">
        <f t="shared" si="71"/>
        <v>0</v>
      </c>
    </row>
    <row r="2303" spans="1:9" s="7" customFormat="1" hidden="1">
      <c r="A2303" s="1558"/>
      <c r="B2303" s="371"/>
      <c r="C2303" s="665"/>
      <c r="D2303" s="665"/>
      <c r="E2303" s="665"/>
      <c r="F2303" s="232"/>
      <c r="G2303" s="232"/>
      <c r="H2303" s="231">
        <f t="shared" si="70"/>
        <v>0</v>
      </c>
      <c r="I2303" s="231">
        <f t="shared" si="71"/>
        <v>0</v>
      </c>
    </row>
    <row r="2304" spans="1:9" s="7" customFormat="1" hidden="1">
      <c r="A2304" s="1558"/>
      <c r="B2304" s="371"/>
      <c r="C2304" s="665"/>
      <c r="D2304" s="665"/>
      <c r="E2304" s="665"/>
      <c r="F2304" s="232"/>
      <c r="G2304" s="232"/>
      <c r="H2304" s="231">
        <f t="shared" si="70"/>
        <v>0</v>
      </c>
      <c r="I2304" s="231">
        <f t="shared" si="71"/>
        <v>0</v>
      </c>
    </row>
    <row r="2305" spans="1:9" s="7" customFormat="1" hidden="1">
      <c r="A2305" s="1558"/>
      <c r="B2305" s="371"/>
      <c r="C2305" s="851"/>
      <c r="D2305" s="851"/>
      <c r="E2305" s="852"/>
      <c r="F2305" s="232"/>
      <c r="G2305" s="232"/>
      <c r="H2305" s="231">
        <f t="shared" si="70"/>
        <v>0</v>
      </c>
      <c r="I2305" s="231">
        <f t="shared" si="71"/>
        <v>0</v>
      </c>
    </row>
    <row r="2306" spans="1:9" s="7" customFormat="1" hidden="1">
      <c r="A2306" s="1558"/>
      <c r="B2306" s="821"/>
      <c r="C2306" s="851"/>
      <c r="D2306" s="851"/>
      <c r="E2306" s="851"/>
      <c r="F2306" s="232"/>
      <c r="G2306" s="232"/>
      <c r="H2306" s="231">
        <f t="shared" si="70"/>
        <v>0</v>
      </c>
      <c r="I2306" s="231">
        <f t="shared" si="71"/>
        <v>0</v>
      </c>
    </row>
    <row r="2307" spans="1:9" s="7" customFormat="1" hidden="1">
      <c r="A2307" s="1558"/>
      <c r="B2307" s="821"/>
      <c r="C2307" s="851"/>
      <c r="D2307" s="851"/>
      <c r="E2307" s="852"/>
      <c r="F2307" s="232"/>
      <c r="G2307" s="232"/>
      <c r="H2307" s="231">
        <f t="shared" si="70"/>
        <v>0</v>
      </c>
      <c r="I2307" s="231">
        <f t="shared" si="71"/>
        <v>0</v>
      </c>
    </row>
    <row r="2308" spans="1:9" s="7" customFormat="1" hidden="1">
      <c r="A2308" s="1558"/>
      <c r="B2308" s="371"/>
      <c r="C2308" s="850"/>
      <c r="D2308" s="850"/>
      <c r="E2308" s="844"/>
      <c r="F2308" s="232"/>
      <c r="G2308" s="232"/>
      <c r="H2308" s="231">
        <f t="shared" si="70"/>
        <v>0</v>
      </c>
      <c r="I2308" s="231">
        <f t="shared" si="71"/>
        <v>0</v>
      </c>
    </row>
    <row r="2309" spans="1:9" s="7" customFormat="1" hidden="1">
      <c r="A2309" s="1558"/>
      <c r="B2309" s="371"/>
      <c r="C2309" s="850"/>
      <c r="D2309" s="850"/>
      <c r="E2309" s="844"/>
      <c r="F2309" s="232"/>
      <c r="G2309" s="232"/>
      <c r="H2309" s="231">
        <f t="shared" si="70"/>
        <v>0</v>
      </c>
      <c r="I2309" s="231">
        <f t="shared" si="71"/>
        <v>0</v>
      </c>
    </row>
    <row r="2310" spans="1:9" s="7" customFormat="1" hidden="1">
      <c r="A2310" s="1558"/>
      <c r="B2310" s="371"/>
      <c r="C2310" s="850"/>
      <c r="D2310" s="850"/>
      <c r="E2310" s="844"/>
      <c r="F2310" s="232"/>
      <c r="G2310" s="232"/>
      <c r="H2310" s="231">
        <f t="shared" si="70"/>
        <v>0</v>
      </c>
      <c r="I2310" s="231">
        <f t="shared" si="71"/>
        <v>0</v>
      </c>
    </row>
    <row r="2311" spans="1:9" s="7" customFormat="1" hidden="1">
      <c r="A2311" s="1558"/>
      <c r="B2311" s="371"/>
      <c r="C2311" s="850"/>
      <c r="D2311" s="850"/>
      <c r="E2311" s="844"/>
      <c r="F2311" s="232"/>
      <c r="G2311" s="232"/>
      <c r="H2311" s="231">
        <f t="shared" si="70"/>
        <v>0</v>
      </c>
      <c r="I2311" s="231">
        <f t="shared" si="71"/>
        <v>0</v>
      </c>
    </row>
    <row r="2312" spans="1:9" s="7" customFormat="1" hidden="1">
      <c r="A2312" s="1558"/>
      <c r="B2312" s="371"/>
      <c r="C2312" s="850"/>
      <c r="D2312" s="850"/>
      <c r="E2312" s="844"/>
      <c r="F2312" s="232"/>
      <c r="G2312" s="232"/>
      <c r="H2312" s="231">
        <f t="shared" si="70"/>
        <v>0</v>
      </c>
      <c r="I2312" s="231">
        <f t="shared" si="71"/>
        <v>0</v>
      </c>
    </row>
    <row r="2313" spans="1:9" s="7" customFormat="1" hidden="1">
      <c r="A2313" s="1558"/>
      <c r="B2313" s="371"/>
      <c r="C2313" s="850"/>
      <c r="D2313" s="850"/>
      <c r="E2313" s="844"/>
      <c r="F2313" s="232"/>
      <c r="G2313" s="232"/>
      <c r="H2313" s="231">
        <f t="shared" ref="H2313:H2376" si="72">E2313+D2313-C2313</f>
        <v>0</v>
      </c>
      <c r="I2313" s="231">
        <f t="shared" ref="I2313:I2376" si="73">SUM(C2313:E2313)</f>
        <v>0</v>
      </c>
    </row>
    <row r="2314" spans="1:9" s="7" customFormat="1" hidden="1">
      <c r="A2314" s="1558"/>
      <c r="B2314" s="371"/>
      <c r="C2314" s="850"/>
      <c r="D2314" s="850"/>
      <c r="E2314" s="844"/>
      <c r="F2314" s="232"/>
      <c r="G2314" s="232"/>
      <c r="H2314" s="231">
        <f t="shared" si="72"/>
        <v>0</v>
      </c>
      <c r="I2314" s="231">
        <f t="shared" si="73"/>
        <v>0</v>
      </c>
    </row>
    <row r="2315" spans="1:9" s="7" customFormat="1" hidden="1">
      <c r="A2315" s="1558"/>
      <c r="B2315" s="371"/>
      <c r="C2315" s="850"/>
      <c r="D2315" s="850"/>
      <c r="E2315" s="844"/>
      <c r="F2315" s="232"/>
      <c r="G2315" s="232"/>
      <c r="H2315" s="231">
        <f t="shared" si="72"/>
        <v>0</v>
      </c>
      <c r="I2315" s="231">
        <f t="shared" si="73"/>
        <v>0</v>
      </c>
    </row>
    <row r="2316" spans="1:9" s="7" customFormat="1" hidden="1">
      <c r="A2316" s="1558"/>
      <c r="B2316" s="371"/>
      <c r="C2316" s="850"/>
      <c r="D2316" s="850"/>
      <c r="E2316" s="844"/>
      <c r="F2316" s="232"/>
      <c r="G2316" s="232"/>
      <c r="H2316" s="231">
        <f t="shared" si="72"/>
        <v>0</v>
      </c>
      <c r="I2316" s="231">
        <f t="shared" si="73"/>
        <v>0</v>
      </c>
    </row>
    <row r="2317" spans="1:9" s="7" customFormat="1" hidden="1">
      <c r="A2317" s="1558"/>
      <c r="B2317" s="371"/>
      <c r="C2317" s="850"/>
      <c r="D2317" s="850"/>
      <c r="E2317" s="844"/>
      <c r="F2317" s="232"/>
      <c r="G2317" s="232"/>
      <c r="H2317" s="231">
        <f t="shared" si="72"/>
        <v>0</v>
      </c>
      <c r="I2317" s="231">
        <f t="shared" si="73"/>
        <v>0</v>
      </c>
    </row>
    <row r="2318" spans="1:9" s="7" customFormat="1" hidden="1">
      <c r="A2318" s="1558"/>
      <c r="B2318" s="371"/>
      <c r="C2318" s="850"/>
      <c r="D2318" s="850"/>
      <c r="E2318" s="844"/>
      <c r="F2318" s="232"/>
      <c r="G2318" s="232"/>
      <c r="H2318" s="231">
        <f t="shared" si="72"/>
        <v>0</v>
      </c>
      <c r="I2318" s="231">
        <f t="shared" si="73"/>
        <v>0</v>
      </c>
    </row>
    <row r="2319" spans="1:9" s="7" customFormat="1" hidden="1">
      <c r="A2319" s="1558"/>
      <c r="B2319" s="371"/>
      <c r="C2319" s="850"/>
      <c r="D2319" s="850"/>
      <c r="E2319" s="844"/>
      <c r="F2319" s="232"/>
      <c r="G2319" s="232"/>
      <c r="H2319" s="231">
        <f t="shared" si="72"/>
        <v>0</v>
      </c>
      <c r="I2319" s="231">
        <f t="shared" si="73"/>
        <v>0</v>
      </c>
    </row>
    <row r="2320" spans="1:9" s="7" customFormat="1" hidden="1">
      <c r="A2320" s="1558"/>
      <c r="B2320" s="371"/>
      <c r="C2320" s="850"/>
      <c r="D2320" s="850"/>
      <c r="E2320" s="844"/>
      <c r="F2320" s="232"/>
      <c r="G2320" s="232"/>
      <c r="H2320" s="231">
        <f t="shared" si="72"/>
        <v>0</v>
      </c>
      <c r="I2320" s="231">
        <f t="shared" si="73"/>
        <v>0</v>
      </c>
    </row>
    <row r="2321" spans="1:9" s="7" customFormat="1" hidden="1">
      <c r="A2321" s="1558"/>
      <c r="B2321" s="371"/>
      <c r="C2321" s="850"/>
      <c r="D2321" s="850"/>
      <c r="E2321" s="844"/>
      <c r="F2321" s="232"/>
      <c r="G2321" s="232"/>
      <c r="H2321" s="231">
        <f t="shared" si="72"/>
        <v>0</v>
      </c>
      <c r="I2321" s="231">
        <f t="shared" si="73"/>
        <v>0</v>
      </c>
    </row>
    <row r="2322" spans="1:9" s="7" customFormat="1" hidden="1">
      <c r="A2322" s="1558"/>
      <c r="B2322" s="371"/>
      <c r="C2322" s="850"/>
      <c r="D2322" s="850"/>
      <c r="E2322" s="844"/>
      <c r="F2322" s="232"/>
      <c r="G2322" s="232"/>
      <c r="H2322" s="231">
        <f t="shared" si="72"/>
        <v>0</v>
      </c>
      <c r="I2322" s="231">
        <f t="shared" si="73"/>
        <v>0</v>
      </c>
    </row>
    <row r="2323" spans="1:9" s="7" customFormat="1" hidden="1">
      <c r="A2323" s="1558"/>
      <c r="B2323" s="371"/>
      <c r="C2323" s="850"/>
      <c r="D2323" s="850"/>
      <c r="E2323" s="844"/>
      <c r="F2323" s="232"/>
      <c r="G2323" s="232"/>
      <c r="H2323" s="231">
        <f t="shared" si="72"/>
        <v>0</v>
      </c>
      <c r="I2323" s="231">
        <f t="shared" si="73"/>
        <v>0</v>
      </c>
    </row>
    <row r="2324" spans="1:9" s="7" customFormat="1" hidden="1">
      <c r="A2324" s="1558"/>
      <c r="B2324" s="371"/>
      <c r="C2324" s="850"/>
      <c r="D2324" s="850"/>
      <c r="E2324" s="844"/>
      <c r="F2324" s="232"/>
      <c r="G2324" s="232"/>
      <c r="H2324" s="231">
        <f t="shared" si="72"/>
        <v>0</v>
      </c>
      <c r="I2324" s="231">
        <f t="shared" si="73"/>
        <v>0</v>
      </c>
    </row>
    <row r="2325" spans="1:9" s="7" customFormat="1" hidden="1">
      <c r="A2325" s="1558"/>
      <c r="B2325" s="371"/>
      <c r="C2325" s="850"/>
      <c r="D2325" s="850"/>
      <c r="E2325" s="844"/>
      <c r="F2325" s="232"/>
      <c r="G2325" s="232"/>
      <c r="H2325" s="231">
        <f t="shared" si="72"/>
        <v>0</v>
      </c>
      <c r="I2325" s="231">
        <f t="shared" si="73"/>
        <v>0</v>
      </c>
    </row>
    <row r="2326" spans="1:9" s="7" customFormat="1" hidden="1">
      <c r="A2326" s="1558"/>
      <c r="B2326" s="371"/>
      <c r="C2326" s="850"/>
      <c r="D2326" s="850"/>
      <c r="E2326" s="844"/>
      <c r="F2326" s="232"/>
      <c r="G2326" s="232"/>
      <c r="H2326" s="231">
        <f t="shared" si="72"/>
        <v>0</v>
      </c>
      <c r="I2326" s="231">
        <f t="shared" si="73"/>
        <v>0</v>
      </c>
    </row>
    <row r="2327" spans="1:9" s="7" customFormat="1" hidden="1">
      <c r="A2327" s="1558"/>
      <c r="B2327" s="371"/>
      <c r="C2327" s="850"/>
      <c r="D2327" s="850"/>
      <c r="E2327" s="844"/>
      <c r="F2327" s="232"/>
      <c r="G2327" s="232"/>
      <c r="H2327" s="231">
        <f t="shared" si="72"/>
        <v>0</v>
      </c>
      <c r="I2327" s="231">
        <f t="shared" si="73"/>
        <v>0</v>
      </c>
    </row>
    <row r="2328" spans="1:9" s="7" customFormat="1" hidden="1">
      <c r="A2328" s="1558"/>
      <c r="B2328" s="371"/>
      <c r="C2328" s="850"/>
      <c r="D2328" s="850"/>
      <c r="E2328" s="844"/>
      <c r="F2328" s="232"/>
      <c r="G2328" s="232"/>
      <c r="H2328" s="231">
        <f t="shared" si="72"/>
        <v>0</v>
      </c>
      <c r="I2328" s="231">
        <f t="shared" si="73"/>
        <v>0</v>
      </c>
    </row>
    <row r="2329" spans="1:9" s="7" customFormat="1" hidden="1">
      <c r="A2329" s="1558"/>
      <c r="B2329" s="371"/>
      <c r="C2329" s="850"/>
      <c r="D2329" s="850"/>
      <c r="E2329" s="844"/>
      <c r="F2329" s="232"/>
      <c r="G2329" s="232"/>
      <c r="H2329" s="231">
        <f t="shared" si="72"/>
        <v>0</v>
      </c>
      <c r="I2329" s="231">
        <f t="shared" si="73"/>
        <v>0</v>
      </c>
    </row>
    <row r="2330" spans="1:9" s="7" customFormat="1" hidden="1">
      <c r="A2330" s="1558"/>
      <c r="B2330" s="371"/>
      <c r="C2330" s="850"/>
      <c r="D2330" s="850"/>
      <c r="E2330" s="844"/>
      <c r="F2330" s="232"/>
      <c r="G2330" s="232"/>
      <c r="H2330" s="231">
        <f t="shared" si="72"/>
        <v>0</v>
      </c>
      <c r="I2330" s="231">
        <f t="shared" si="73"/>
        <v>0</v>
      </c>
    </row>
    <row r="2331" spans="1:9" s="7" customFormat="1" hidden="1">
      <c r="A2331" s="1558"/>
      <c r="B2331" s="371"/>
      <c r="C2331" s="850"/>
      <c r="D2331" s="850"/>
      <c r="E2331" s="844"/>
      <c r="F2331" s="232"/>
      <c r="G2331" s="232"/>
      <c r="H2331" s="231">
        <f t="shared" si="72"/>
        <v>0</v>
      </c>
      <c r="I2331" s="231">
        <f t="shared" si="73"/>
        <v>0</v>
      </c>
    </row>
    <row r="2332" spans="1:9" s="7" customFormat="1" hidden="1">
      <c r="A2332" s="1558"/>
      <c r="B2332" s="371"/>
      <c r="C2332" s="850"/>
      <c r="D2332" s="850"/>
      <c r="E2332" s="844"/>
      <c r="F2332" s="232"/>
      <c r="G2332" s="232"/>
      <c r="H2332" s="231">
        <f t="shared" si="72"/>
        <v>0</v>
      </c>
      <c r="I2332" s="231">
        <f t="shared" si="73"/>
        <v>0</v>
      </c>
    </row>
    <row r="2333" spans="1:9" s="7" customFormat="1" hidden="1">
      <c r="A2333" s="1558"/>
      <c r="B2333" s="371"/>
      <c r="C2333" s="850"/>
      <c r="D2333" s="850"/>
      <c r="E2333" s="844"/>
      <c r="F2333" s="232"/>
      <c r="G2333" s="232"/>
      <c r="H2333" s="231">
        <f t="shared" si="72"/>
        <v>0</v>
      </c>
      <c r="I2333" s="231">
        <f t="shared" si="73"/>
        <v>0</v>
      </c>
    </row>
    <row r="2334" spans="1:9" s="7" customFormat="1" hidden="1">
      <c r="A2334" s="1558"/>
      <c r="B2334" s="371"/>
      <c r="C2334" s="850"/>
      <c r="D2334" s="850"/>
      <c r="E2334" s="844"/>
      <c r="F2334" s="232"/>
      <c r="G2334" s="232"/>
      <c r="H2334" s="231">
        <f t="shared" si="72"/>
        <v>0</v>
      </c>
      <c r="I2334" s="231">
        <f t="shared" si="73"/>
        <v>0</v>
      </c>
    </row>
    <row r="2335" spans="1:9" s="7" customFormat="1" hidden="1">
      <c r="A2335" s="1558"/>
      <c r="B2335" s="869"/>
      <c r="C2335" s="846"/>
      <c r="D2335" s="846"/>
      <c r="E2335" s="848"/>
      <c r="F2335" s="232"/>
      <c r="G2335" s="232"/>
      <c r="H2335" s="231">
        <f t="shared" si="72"/>
        <v>0</v>
      </c>
      <c r="I2335" s="231">
        <f t="shared" si="73"/>
        <v>0</v>
      </c>
    </row>
    <row r="2336" spans="1:9" s="7" customFormat="1" hidden="1">
      <c r="A2336" s="1558"/>
      <c r="B2336" s="371"/>
      <c r="C2336" s="665"/>
      <c r="D2336" s="665"/>
      <c r="E2336" s="665"/>
      <c r="F2336" s="232"/>
      <c r="G2336" s="232"/>
      <c r="H2336" s="231">
        <f t="shared" si="72"/>
        <v>0</v>
      </c>
      <c r="I2336" s="231">
        <f t="shared" si="73"/>
        <v>0</v>
      </c>
    </row>
    <row r="2337" spans="1:9" s="7" customFormat="1" hidden="1">
      <c r="A2337" s="1558"/>
      <c r="B2337" s="385"/>
      <c r="C2337" s="638"/>
      <c r="D2337" s="638"/>
      <c r="E2337" s="639"/>
      <c r="F2337" s="232"/>
      <c r="G2337" s="232"/>
      <c r="H2337" s="231">
        <f t="shared" si="72"/>
        <v>0</v>
      </c>
      <c r="I2337" s="231">
        <f t="shared" si="73"/>
        <v>0</v>
      </c>
    </row>
    <row r="2338" spans="1:9" s="7" customFormat="1" hidden="1">
      <c r="A2338" s="1558"/>
      <c r="B2338" s="385"/>
      <c r="C2338" s="638"/>
      <c r="D2338" s="638"/>
      <c r="E2338" s="639"/>
      <c r="F2338" s="232"/>
      <c r="G2338" s="232"/>
      <c r="H2338" s="231">
        <f t="shared" si="72"/>
        <v>0</v>
      </c>
      <c r="I2338" s="231">
        <f t="shared" si="73"/>
        <v>0</v>
      </c>
    </row>
    <row r="2339" spans="1:9" s="7" customFormat="1" hidden="1">
      <c r="A2339" s="1558"/>
      <c r="B2339" s="385"/>
      <c r="C2339" s="638"/>
      <c r="D2339" s="638"/>
      <c r="E2339" s="639"/>
      <c r="F2339" s="232"/>
      <c r="G2339" s="232"/>
      <c r="H2339" s="231">
        <f t="shared" si="72"/>
        <v>0</v>
      </c>
      <c r="I2339" s="231">
        <f t="shared" si="73"/>
        <v>0</v>
      </c>
    </row>
    <row r="2340" spans="1:9" s="7" customFormat="1" hidden="1">
      <c r="A2340" s="1558"/>
      <c r="B2340" s="385"/>
      <c r="C2340" s="638"/>
      <c r="D2340" s="638"/>
      <c r="E2340" s="639"/>
      <c r="F2340" s="232"/>
      <c r="G2340" s="232"/>
      <c r="H2340" s="231">
        <f t="shared" si="72"/>
        <v>0</v>
      </c>
      <c r="I2340" s="231">
        <f t="shared" si="73"/>
        <v>0</v>
      </c>
    </row>
    <row r="2341" spans="1:9" s="7" customFormat="1" hidden="1">
      <c r="A2341" s="1558"/>
      <c r="B2341" s="385"/>
      <c r="C2341" s="638"/>
      <c r="D2341" s="638"/>
      <c r="E2341" s="639"/>
      <c r="F2341" s="232"/>
      <c r="G2341" s="232"/>
      <c r="H2341" s="231">
        <f t="shared" si="72"/>
        <v>0</v>
      </c>
      <c r="I2341" s="231">
        <f t="shared" si="73"/>
        <v>0</v>
      </c>
    </row>
    <row r="2342" spans="1:9" s="7" customFormat="1" hidden="1">
      <c r="A2342" s="1558"/>
      <c r="B2342" s="390"/>
      <c r="C2342" s="651"/>
      <c r="D2342" s="692"/>
      <c r="E2342" s="692"/>
      <c r="F2342" s="232"/>
      <c r="G2342" s="232"/>
      <c r="H2342" s="231">
        <f t="shared" si="72"/>
        <v>0</v>
      </c>
      <c r="I2342" s="231">
        <f t="shared" si="73"/>
        <v>0</v>
      </c>
    </row>
    <row r="2343" spans="1:9" s="7" customFormat="1" hidden="1">
      <c r="A2343" s="1558"/>
      <c r="B2343" s="390"/>
      <c r="C2343" s="651"/>
      <c r="D2343" s="692"/>
      <c r="E2343" s="692"/>
      <c r="F2343" s="232"/>
      <c r="G2343" s="232"/>
      <c r="H2343" s="231">
        <f t="shared" si="72"/>
        <v>0</v>
      </c>
      <c r="I2343" s="231">
        <f t="shared" si="73"/>
        <v>0</v>
      </c>
    </row>
    <row r="2344" spans="1:9" s="7" customFormat="1" hidden="1">
      <c r="A2344" s="1554"/>
      <c r="B2344" s="390"/>
      <c r="C2344" s="651"/>
      <c r="D2344" s="692"/>
      <c r="E2344" s="692"/>
      <c r="F2344" s="232"/>
      <c r="G2344" s="232"/>
      <c r="H2344" s="231">
        <f t="shared" si="72"/>
        <v>0</v>
      </c>
      <c r="I2344" s="231">
        <f t="shared" si="73"/>
        <v>0</v>
      </c>
    </row>
    <row r="2345" spans="1:9" s="7" customFormat="1" hidden="1">
      <c r="A2345" s="1554"/>
      <c r="B2345" s="390"/>
      <c r="C2345" s="651"/>
      <c r="D2345" s="692"/>
      <c r="E2345" s="692"/>
      <c r="F2345" s="232"/>
      <c r="G2345" s="232"/>
      <c r="H2345" s="231">
        <f t="shared" si="72"/>
        <v>0</v>
      </c>
      <c r="I2345" s="231">
        <f t="shared" si="73"/>
        <v>0</v>
      </c>
    </row>
    <row r="2346" spans="1:9" s="7" customFormat="1" hidden="1">
      <c r="A2346" s="1554"/>
      <c r="B2346" s="390"/>
      <c r="C2346" s="651"/>
      <c r="D2346" s="692"/>
      <c r="E2346" s="692"/>
      <c r="F2346" s="232"/>
      <c r="G2346" s="232"/>
      <c r="H2346" s="231">
        <f t="shared" si="72"/>
        <v>0</v>
      </c>
      <c r="I2346" s="231">
        <f t="shared" si="73"/>
        <v>0</v>
      </c>
    </row>
    <row r="2347" spans="1:9" s="7" customFormat="1" hidden="1">
      <c r="A2347" s="1554"/>
      <c r="B2347" s="390"/>
      <c r="C2347" s="651"/>
      <c r="D2347" s="692"/>
      <c r="E2347" s="692"/>
      <c r="F2347" s="232"/>
      <c r="G2347" s="232"/>
      <c r="H2347" s="231">
        <f t="shared" si="72"/>
        <v>0</v>
      </c>
      <c r="I2347" s="231">
        <f t="shared" si="73"/>
        <v>0</v>
      </c>
    </row>
    <row r="2348" spans="1:9" s="7" customFormat="1" hidden="1">
      <c r="A2348" s="1554"/>
      <c r="B2348" s="390"/>
      <c r="C2348" s="651"/>
      <c r="D2348" s="692"/>
      <c r="E2348" s="692"/>
      <c r="F2348" s="232"/>
      <c r="G2348" s="232"/>
      <c r="H2348" s="231">
        <f t="shared" si="72"/>
        <v>0</v>
      </c>
      <c r="I2348" s="231">
        <f t="shared" si="73"/>
        <v>0</v>
      </c>
    </row>
    <row r="2349" spans="1:9" s="7" customFormat="1" hidden="1">
      <c r="A2349" s="1554"/>
      <c r="B2349" s="371"/>
      <c r="C2349" s="664"/>
      <c r="D2349" s="664"/>
      <c r="E2349" s="665"/>
      <c r="F2349" s="232"/>
      <c r="G2349" s="232"/>
      <c r="H2349" s="231">
        <f t="shared" si="72"/>
        <v>0</v>
      </c>
      <c r="I2349" s="231">
        <f t="shared" si="73"/>
        <v>0</v>
      </c>
    </row>
    <row r="2350" spans="1:9" s="7" customFormat="1" hidden="1">
      <c r="A2350" s="1554"/>
      <c r="B2350" s="107"/>
      <c r="C2350" s="654"/>
      <c r="D2350" s="654"/>
      <c r="E2350" s="654"/>
      <c r="F2350" s="232"/>
      <c r="G2350" s="232"/>
      <c r="H2350" s="231">
        <f t="shared" si="72"/>
        <v>0</v>
      </c>
      <c r="I2350" s="231">
        <f t="shared" si="73"/>
        <v>0</v>
      </c>
    </row>
    <row r="2351" spans="1:9" s="7" customFormat="1" hidden="1">
      <c r="A2351" s="1554"/>
      <c r="B2351" s="107"/>
      <c r="C2351" s="654"/>
      <c r="D2351" s="654"/>
      <c r="E2351" s="654"/>
      <c r="F2351" s="232"/>
      <c r="G2351" s="232"/>
      <c r="H2351" s="231">
        <f t="shared" si="72"/>
        <v>0</v>
      </c>
      <c r="I2351" s="231">
        <f t="shared" si="73"/>
        <v>0</v>
      </c>
    </row>
    <row r="2352" spans="1:9" s="7" customFormat="1" hidden="1">
      <c r="A2352" s="1554"/>
      <c r="B2352" s="268"/>
      <c r="C2352" s="656"/>
      <c r="D2352" s="656"/>
      <c r="E2352" s="656"/>
      <c r="F2352" s="232"/>
      <c r="G2352" s="232"/>
      <c r="H2352" s="231">
        <f t="shared" si="72"/>
        <v>0</v>
      </c>
      <c r="I2352" s="231">
        <f t="shared" si="73"/>
        <v>0</v>
      </c>
    </row>
    <row r="2353" spans="1:12">
      <c r="A2353" s="1566"/>
      <c r="B2353" s="209" t="s">
        <v>985</v>
      </c>
      <c r="C2353" s="581">
        <f>SUM(C2213:C2352)</f>
        <v>984042</v>
      </c>
      <c r="D2353" s="581">
        <f>SUM(D2213:D2352)</f>
        <v>795602</v>
      </c>
      <c r="E2353" s="581">
        <f>SUM(E2213:E2352)</f>
        <v>188440</v>
      </c>
      <c r="F2353" s="267">
        <f>SUM(F2213:F2352)</f>
        <v>0</v>
      </c>
      <c r="G2353" s="233">
        <f>SUM(G2213:G2352)</f>
        <v>0</v>
      </c>
      <c r="H2353" s="1497">
        <f t="shared" si="72"/>
        <v>0</v>
      </c>
      <c r="I2353" s="1497">
        <f t="shared" si="73"/>
        <v>1968084</v>
      </c>
      <c r="J2353" s="1440"/>
      <c r="K2353" s="1490"/>
      <c r="L2353" s="1490"/>
    </row>
    <row r="2354" spans="1:12" ht="75">
      <c r="A2354" s="1566" t="s">
        <v>1165</v>
      </c>
      <c r="B2354" s="181" t="s">
        <v>772</v>
      </c>
      <c r="C2354" s="589">
        <v>27500</v>
      </c>
      <c r="D2354" s="589">
        <v>27500</v>
      </c>
      <c r="E2354" s="510"/>
      <c r="F2354" s="237"/>
      <c r="G2354" s="237"/>
      <c r="H2354" s="1497">
        <f t="shared" si="72"/>
        <v>0</v>
      </c>
      <c r="I2354" s="1497">
        <f t="shared" si="73"/>
        <v>55000</v>
      </c>
      <c r="J2354" s="1440"/>
      <c r="K2354" s="1490"/>
      <c r="L2354" s="1490"/>
    </row>
    <row r="2355" spans="1:12" ht="37.5">
      <c r="A2355" s="1566"/>
      <c r="B2355" s="480" t="s">
        <v>1273</v>
      </c>
      <c r="C2355" s="589">
        <v>282915</v>
      </c>
      <c r="D2355" s="589">
        <v>282915</v>
      </c>
      <c r="E2355" s="510"/>
      <c r="F2355" s="232"/>
      <c r="G2355" s="232"/>
      <c r="H2355" s="1497">
        <f t="shared" si="72"/>
        <v>0</v>
      </c>
      <c r="I2355" s="1497">
        <f t="shared" si="73"/>
        <v>565830</v>
      </c>
      <c r="J2355" s="1440"/>
      <c r="K2355" s="1490"/>
      <c r="L2355" s="1490"/>
    </row>
    <row r="2356" spans="1:12" ht="56.25">
      <c r="A2356" s="1566"/>
      <c r="B2356" s="1215" t="s">
        <v>1389</v>
      </c>
      <c r="C2356" s="1214">
        <v>6500</v>
      </c>
      <c r="D2356" s="1214">
        <v>6500</v>
      </c>
      <c r="E2356" s="256"/>
      <c r="F2356" s="232"/>
      <c r="G2356" s="232"/>
      <c r="H2356" s="1497">
        <f t="shared" si="72"/>
        <v>0</v>
      </c>
      <c r="I2356" s="1497">
        <f t="shared" si="73"/>
        <v>13000</v>
      </c>
      <c r="J2356" s="1440"/>
      <c r="K2356" s="1490"/>
      <c r="L2356" s="1490"/>
    </row>
    <row r="2357" spans="1:12" ht="56.25">
      <c r="A2357" s="1566"/>
      <c r="B2357" s="1215" t="s">
        <v>2021</v>
      </c>
      <c r="C2357" s="1214">
        <v>30000</v>
      </c>
      <c r="D2357" s="1214">
        <v>30000</v>
      </c>
      <c r="E2357" s="256"/>
      <c r="F2357" s="232"/>
      <c r="G2357" s="232"/>
      <c r="H2357" s="1497">
        <f t="shared" si="72"/>
        <v>0</v>
      </c>
      <c r="I2357" s="1497">
        <f t="shared" si="73"/>
        <v>60000</v>
      </c>
      <c r="J2357" s="1440"/>
      <c r="K2357" s="1490"/>
      <c r="L2357" s="1490"/>
    </row>
    <row r="2358" spans="1:12" ht="131.25">
      <c r="A2358" s="1566"/>
      <c r="B2358" s="1215" t="s">
        <v>1390</v>
      </c>
      <c r="C2358" s="1214">
        <v>15000</v>
      </c>
      <c r="D2358" s="1214">
        <v>15000</v>
      </c>
      <c r="E2358" s="256"/>
      <c r="F2358" s="232"/>
      <c r="G2358" s="232"/>
      <c r="H2358" s="1497">
        <f t="shared" si="72"/>
        <v>0</v>
      </c>
      <c r="I2358" s="1497">
        <f t="shared" si="73"/>
        <v>30000</v>
      </c>
      <c r="J2358" s="1440"/>
      <c r="K2358" s="1490"/>
      <c r="L2358" s="1490"/>
    </row>
    <row r="2359" spans="1:12" ht="75">
      <c r="A2359" s="1566"/>
      <c r="B2359" s="107" t="s">
        <v>1689</v>
      </c>
      <c r="C2359" s="817">
        <v>8000</v>
      </c>
      <c r="D2359" s="817">
        <v>8000</v>
      </c>
      <c r="E2359" s="184"/>
      <c r="F2359" s="232"/>
      <c r="G2359" s="232"/>
      <c r="H2359" s="1497">
        <f t="shared" si="72"/>
        <v>0</v>
      </c>
      <c r="I2359" s="1497">
        <f t="shared" si="73"/>
        <v>16000</v>
      </c>
      <c r="J2359" s="1440"/>
      <c r="K2359" s="1490"/>
      <c r="L2359" s="1490"/>
    </row>
    <row r="2360" spans="1:12" ht="93.75">
      <c r="A2360" s="1566"/>
      <c r="B2360" s="107" t="s">
        <v>1690</v>
      </c>
      <c r="C2360" s="817">
        <v>20000</v>
      </c>
      <c r="D2360" s="817">
        <v>20000</v>
      </c>
      <c r="E2360" s="184"/>
      <c r="F2360" s="232"/>
      <c r="G2360" s="232"/>
      <c r="H2360" s="1497">
        <f t="shared" si="72"/>
        <v>0</v>
      </c>
      <c r="I2360" s="1497">
        <f t="shared" si="73"/>
        <v>40000</v>
      </c>
      <c r="J2360" s="1440"/>
      <c r="K2360" s="1490"/>
      <c r="L2360" s="1490"/>
    </row>
    <row r="2361" spans="1:12" ht="75">
      <c r="A2361" s="1566"/>
      <c r="B2361" s="107" t="s">
        <v>1691</v>
      </c>
      <c r="C2361" s="817">
        <v>30000</v>
      </c>
      <c r="D2361" s="817">
        <v>30000</v>
      </c>
      <c r="E2361" s="184"/>
      <c r="F2361" s="232"/>
      <c r="G2361" s="232"/>
      <c r="H2361" s="1497">
        <f t="shared" si="72"/>
        <v>0</v>
      </c>
      <c r="I2361" s="1497">
        <f t="shared" si="73"/>
        <v>60000</v>
      </c>
      <c r="J2361" s="1440"/>
      <c r="K2361" s="1490"/>
      <c r="L2361" s="1490"/>
    </row>
    <row r="2362" spans="1:12" ht="112.5">
      <c r="A2362" s="1566"/>
      <c r="B2362" s="107" t="s">
        <v>1692</v>
      </c>
      <c r="C2362" s="817">
        <v>20000</v>
      </c>
      <c r="D2362" s="817">
        <v>20000</v>
      </c>
      <c r="E2362" s="184"/>
      <c r="F2362" s="232"/>
      <c r="G2362" s="232"/>
      <c r="H2362" s="1497">
        <f t="shared" si="72"/>
        <v>0</v>
      </c>
      <c r="I2362" s="1497">
        <f t="shared" si="73"/>
        <v>40000</v>
      </c>
      <c r="J2362" s="1440"/>
      <c r="K2362" s="1490"/>
      <c r="L2362" s="1490"/>
    </row>
    <row r="2363" spans="1:12" ht="56.25">
      <c r="A2363" s="1566"/>
      <c r="B2363" s="425" t="s">
        <v>1693</v>
      </c>
      <c r="C2363" s="1227">
        <v>10000</v>
      </c>
      <c r="D2363" s="1227">
        <v>10000</v>
      </c>
      <c r="E2363" s="1227"/>
      <c r="F2363" s="232"/>
      <c r="G2363" s="232"/>
      <c r="H2363" s="1497">
        <f t="shared" si="72"/>
        <v>0</v>
      </c>
      <c r="I2363" s="1497">
        <f t="shared" si="73"/>
        <v>20000</v>
      </c>
      <c r="J2363" s="1440"/>
      <c r="K2363" s="1490"/>
      <c r="L2363" s="1490"/>
    </row>
    <row r="2364" spans="1:12" ht="37.5">
      <c r="A2364" s="1566"/>
      <c r="B2364" s="425" t="s">
        <v>1694</v>
      </c>
      <c r="C2364" s="1227">
        <v>10000</v>
      </c>
      <c r="D2364" s="1227">
        <v>10000</v>
      </c>
      <c r="E2364" s="1227"/>
      <c r="F2364" s="232"/>
      <c r="G2364" s="232"/>
      <c r="H2364" s="1497">
        <f t="shared" si="72"/>
        <v>0</v>
      </c>
      <c r="I2364" s="1497">
        <f t="shared" si="73"/>
        <v>20000</v>
      </c>
      <c r="J2364" s="1440"/>
      <c r="K2364" s="1490"/>
      <c r="L2364" s="1490"/>
    </row>
    <row r="2365" spans="1:12" hidden="1">
      <c r="A2365" s="1566"/>
      <c r="B2365" s="107"/>
      <c r="C2365" s="589"/>
      <c r="D2365" s="589"/>
      <c r="E2365" s="510"/>
      <c r="F2365" s="232"/>
      <c r="G2365" s="232"/>
      <c r="H2365" s="231">
        <f t="shared" si="72"/>
        <v>0</v>
      </c>
      <c r="I2365" s="231">
        <f t="shared" si="73"/>
        <v>0</v>
      </c>
    </row>
    <row r="2366" spans="1:12" hidden="1">
      <c r="A2366" s="1566"/>
      <c r="B2366" s="107"/>
      <c r="C2366" s="589"/>
      <c r="D2366" s="589"/>
      <c r="E2366" s="510"/>
      <c r="F2366" s="232"/>
      <c r="G2366" s="232"/>
      <c r="H2366" s="231">
        <f t="shared" si="72"/>
        <v>0</v>
      </c>
      <c r="I2366" s="231">
        <f t="shared" si="73"/>
        <v>0</v>
      </c>
    </row>
    <row r="2367" spans="1:12" hidden="1">
      <c r="A2367" s="1566"/>
      <c r="B2367" s="107"/>
      <c r="C2367" s="589"/>
      <c r="D2367" s="589"/>
      <c r="E2367" s="589"/>
      <c r="F2367" s="232"/>
      <c r="G2367" s="232"/>
      <c r="H2367" s="231">
        <f t="shared" si="72"/>
        <v>0</v>
      </c>
      <c r="I2367" s="231">
        <f t="shared" si="73"/>
        <v>0</v>
      </c>
    </row>
    <row r="2368" spans="1:12" hidden="1">
      <c r="A2368" s="1566"/>
      <c r="B2368" s="107"/>
      <c r="C2368" s="589"/>
      <c r="D2368" s="589"/>
      <c r="E2368" s="589"/>
      <c r="F2368" s="232"/>
      <c r="G2368" s="232"/>
      <c r="H2368" s="231">
        <f t="shared" si="72"/>
        <v>0</v>
      </c>
      <c r="I2368" s="231">
        <f t="shared" si="73"/>
        <v>0</v>
      </c>
    </row>
    <row r="2369" spans="1:9" hidden="1">
      <c r="A2369" s="1566"/>
      <c r="B2369" s="107"/>
      <c r="C2369" s="589"/>
      <c r="D2369" s="589"/>
      <c r="E2369" s="589"/>
      <c r="F2369" s="232"/>
      <c r="G2369" s="232"/>
      <c r="H2369" s="231">
        <f t="shared" si="72"/>
        <v>0</v>
      </c>
      <c r="I2369" s="231">
        <f t="shared" si="73"/>
        <v>0</v>
      </c>
    </row>
    <row r="2370" spans="1:9" hidden="1">
      <c r="A2370" s="1566"/>
      <c r="B2370" s="107"/>
      <c r="C2370" s="589"/>
      <c r="D2370" s="589"/>
      <c r="E2370" s="589"/>
      <c r="F2370" s="232"/>
      <c r="G2370" s="232"/>
      <c r="H2370" s="231">
        <f t="shared" si="72"/>
        <v>0</v>
      </c>
      <c r="I2370" s="231">
        <f t="shared" si="73"/>
        <v>0</v>
      </c>
    </row>
    <row r="2371" spans="1:9" hidden="1">
      <c r="A2371" s="1566"/>
      <c r="B2371" s="107"/>
      <c r="C2371" s="589"/>
      <c r="D2371" s="589"/>
      <c r="E2371" s="589"/>
      <c r="F2371" s="232"/>
      <c r="G2371" s="232"/>
      <c r="H2371" s="231">
        <f t="shared" si="72"/>
        <v>0</v>
      </c>
      <c r="I2371" s="231">
        <f t="shared" si="73"/>
        <v>0</v>
      </c>
    </row>
    <row r="2372" spans="1:9" hidden="1">
      <c r="A2372" s="1566"/>
      <c r="B2372" s="107"/>
      <c r="C2372" s="589"/>
      <c r="D2372" s="589"/>
      <c r="E2372" s="510"/>
      <c r="F2372" s="232"/>
      <c r="G2372" s="232"/>
      <c r="H2372" s="231">
        <f t="shared" si="72"/>
        <v>0</v>
      </c>
      <c r="I2372" s="231">
        <f t="shared" si="73"/>
        <v>0</v>
      </c>
    </row>
    <row r="2373" spans="1:9" hidden="1">
      <c r="A2373" s="1566"/>
      <c r="B2373" s="617"/>
      <c r="C2373" s="633"/>
      <c r="D2373" s="633"/>
      <c r="E2373" s="633"/>
      <c r="F2373" s="232"/>
      <c r="G2373" s="232"/>
      <c r="H2373" s="231">
        <f t="shared" si="72"/>
        <v>0</v>
      </c>
      <c r="I2373" s="231">
        <f t="shared" si="73"/>
        <v>0</v>
      </c>
    </row>
    <row r="2374" spans="1:9" hidden="1">
      <c r="A2374" s="1566"/>
      <c r="B2374" s="107"/>
      <c r="C2374" s="649"/>
      <c r="D2374" s="649"/>
      <c r="E2374" s="256"/>
      <c r="F2374" s="232"/>
      <c r="G2374" s="232"/>
      <c r="H2374" s="231">
        <f t="shared" si="72"/>
        <v>0</v>
      </c>
      <c r="I2374" s="231">
        <f t="shared" si="73"/>
        <v>0</v>
      </c>
    </row>
    <row r="2375" spans="1:9" hidden="1">
      <c r="A2375" s="1566"/>
      <c r="B2375" s="107"/>
      <c r="C2375" s="649"/>
      <c r="D2375" s="649"/>
      <c r="E2375" s="256"/>
      <c r="F2375" s="232"/>
      <c r="G2375" s="232"/>
      <c r="H2375" s="231">
        <f t="shared" si="72"/>
        <v>0</v>
      </c>
      <c r="I2375" s="231">
        <f t="shared" si="73"/>
        <v>0</v>
      </c>
    </row>
    <row r="2376" spans="1:9" hidden="1">
      <c r="A2376" s="1566"/>
      <c r="B2376" s="107"/>
      <c r="C2376" s="649"/>
      <c r="D2376" s="649"/>
      <c r="E2376" s="256"/>
      <c r="F2376" s="232"/>
      <c r="G2376" s="232"/>
      <c r="H2376" s="231">
        <f t="shared" si="72"/>
        <v>0</v>
      </c>
      <c r="I2376" s="231">
        <f t="shared" si="73"/>
        <v>0</v>
      </c>
    </row>
    <row r="2377" spans="1:9" hidden="1">
      <c r="A2377" s="1566"/>
      <c r="B2377" s="107"/>
      <c r="C2377" s="649"/>
      <c r="D2377" s="649"/>
      <c r="E2377" s="256"/>
      <c r="F2377" s="232"/>
      <c r="G2377" s="232"/>
      <c r="H2377" s="231">
        <f t="shared" ref="H2377:H2440" si="74">E2377+D2377-C2377</f>
        <v>0</v>
      </c>
      <c r="I2377" s="231">
        <f t="shared" ref="I2377:I2440" si="75">SUM(C2377:E2377)</f>
        <v>0</v>
      </c>
    </row>
    <row r="2378" spans="1:9" hidden="1">
      <c r="A2378" s="1566"/>
      <c r="B2378" s="107"/>
      <c r="C2378" s="649"/>
      <c r="D2378" s="649"/>
      <c r="E2378" s="256"/>
      <c r="F2378" s="232"/>
      <c r="G2378" s="232"/>
      <c r="H2378" s="231">
        <f t="shared" si="74"/>
        <v>0</v>
      </c>
      <c r="I2378" s="231">
        <f t="shared" si="75"/>
        <v>0</v>
      </c>
    </row>
    <row r="2379" spans="1:9" hidden="1">
      <c r="A2379" s="1566"/>
      <c r="B2379" s="107"/>
      <c r="C2379" s="649"/>
      <c r="D2379" s="649"/>
      <c r="E2379" s="256"/>
      <c r="F2379" s="232"/>
      <c r="G2379" s="232"/>
      <c r="H2379" s="231">
        <f t="shared" si="74"/>
        <v>0</v>
      </c>
      <c r="I2379" s="231">
        <f t="shared" si="75"/>
        <v>0</v>
      </c>
    </row>
    <row r="2380" spans="1:9" hidden="1">
      <c r="A2380" s="1566"/>
      <c r="B2380" s="107"/>
      <c r="C2380" s="649"/>
      <c r="D2380" s="649"/>
      <c r="E2380" s="256"/>
      <c r="F2380" s="232"/>
      <c r="G2380" s="232"/>
      <c r="H2380" s="231">
        <f t="shared" si="74"/>
        <v>0</v>
      </c>
      <c r="I2380" s="231">
        <f t="shared" si="75"/>
        <v>0</v>
      </c>
    </row>
    <row r="2381" spans="1:9" hidden="1">
      <c r="A2381" s="1566"/>
      <c r="B2381" s="107"/>
      <c r="C2381" s="649"/>
      <c r="D2381" s="649"/>
      <c r="E2381" s="256"/>
      <c r="F2381" s="232"/>
      <c r="G2381" s="232"/>
      <c r="H2381" s="231">
        <f t="shared" si="74"/>
        <v>0</v>
      </c>
      <c r="I2381" s="231">
        <f t="shared" si="75"/>
        <v>0</v>
      </c>
    </row>
    <row r="2382" spans="1:9" hidden="1">
      <c r="A2382" s="1566"/>
      <c r="B2382" s="107"/>
      <c r="C2382" s="649"/>
      <c r="D2382" s="649"/>
      <c r="E2382" s="256"/>
      <c r="F2382" s="232"/>
      <c r="G2382" s="232"/>
      <c r="H2382" s="231">
        <f t="shared" si="74"/>
        <v>0</v>
      </c>
      <c r="I2382" s="231">
        <f t="shared" si="75"/>
        <v>0</v>
      </c>
    </row>
    <row r="2383" spans="1:9" hidden="1">
      <c r="A2383" s="1566"/>
      <c r="B2383" s="107"/>
      <c r="C2383" s="649"/>
      <c r="D2383" s="649"/>
      <c r="E2383" s="256"/>
      <c r="F2383" s="232"/>
      <c r="G2383" s="232"/>
      <c r="H2383" s="231">
        <f t="shared" si="74"/>
        <v>0</v>
      </c>
      <c r="I2383" s="231">
        <f t="shared" si="75"/>
        <v>0</v>
      </c>
    </row>
    <row r="2384" spans="1:9" hidden="1">
      <c r="A2384" s="1566"/>
      <c r="B2384" s="371"/>
      <c r="C2384" s="829"/>
      <c r="D2384" s="829"/>
      <c r="E2384" s="829"/>
      <c r="F2384" s="232"/>
      <c r="G2384" s="232"/>
      <c r="H2384" s="231">
        <f t="shared" si="74"/>
        <v>0</v>
      </c>
      <c r="I2384" s="231">
        <f t="shared" si="75"/>
        <v>0</v>
      </c>
    </row>
    <row r="2385" spans="1:9" hidden="1">
      <c r="A2385" s="1566"/>
      <c r="B2385" s="371"/>
      <c r="C2385" s="850"/>
      <c r="D2385" s="850"/>
      <c r="E2385" s="844"/>
      <c r="F2385" s="381"/>
      <c r="G2385" s="232"/>
      <c r="H2385" s="231">
        <f t="shared" si="74"/>
        <v>0</v>
      </c>
      <c r="I2385" s="231">
        <f t="shared" si="75"/>
        <v>0</v>
      </c>
    </row>
    <row r="2386" spans="1:9" hidden="1">
      <c r="A2386" s="1566"/>
      <c r="B2386" s="371"/>
      <c r="C2386" s="850"/>
      <c r="D2386" s="850"/>
      <c r="E2386" s="844"/>
      <c r="F2386" s="232"/>
      <c r="G2386" s="232"/>
      <c r="H2386" s="231">
        <f t="shared" si="74"/>
        <v>0</v>
      </c>
      <c r="I2386" s="231">
        <f t="shared" si="75"/>
        <v>0</v>
      </c>
    </row>
    <row r="2387" spans="1:9" hidden="1">
      <c r="A2387" s="1566"/>
      <c r="B2387" s="371"/>
      <c r="C2387" s="850"/>
      <c r="D2387" s="850"/>
      <c r="E2387" s="844"/>
      <c r="F2387" s="232"/>
      <c r="G2387" s="232"/>
      <c r="H2387" s="231">
        <f t="shared" si="74"/>
        <v>0</v>
      </c>
      <c r="I2387" s="231">
        <f t="shared" si="75"/>
        <v>0</v>
      </c>
    </row>
    <row r="2388" spans="1:9" hidden="1">
      <c r="A2388" s="1566"/>
      <c r="B2388" s="371"/>
      <c r="C2388" s="850"/>
      <c r="D2388" s="850"/>
      <c r="E2388" s="844"/>
      <c r="F2388" s="232"/>
      <c r="G2388" s="232"/>
      <c r="H2388" s="231">
        <f t="shared" si="74"/>
        <v>0</v>
      </c>
      <c r="I2388" s="231">
        <f t="shared" si="75"/>
        <v>0</v>
      </c>
    </row>
    <row r="2389" spans="1:9" hidden="1">
      <c r="A2389" s="1566"/>
      <c r="B2389" s="371"/>
      <c r="C2389" s="850"/>
      <c r="D2389" s="850"/>
      <c r="E2389" s="844"/>
      <c r="F2389" s="232"/>
      <c r="G2389" s="232"/>
      <c r="H2389" s="231">
        <f t="shared" si="74"/>
        <v>0</v>
      </c>
      <c r="I2389" s="231">
        <f t="shared" si="75"/>
        <v>0</v>
      </c>
    </row>
    <row r="2390" spans="1:9" s="7" customFormat="1" hidden="1">
      <c r="A2390" s="1558"/>
      <c r="B2390" s="371"/>
      <c r="C2390" s="850"/>
      <c r="D2390" s="850"/>
      <c r="E2390" s="844"/>
      <c r="F2390" s="232"/>
      <c r="G2390" s="232"/>
      <c r="H2390" s="231">
        <f t="shared" si="74"/>
        <v>0</v>
      </c>
      <c r="I2390" s="231">
        <f t="shared" si="75"/>
        <v>0</v>
      </c>
    </row>
    <row r="2391" spans="1:9" s="120" customFormat="1" hidden="1">
      <c r="A2391" s="1554"/>
      <c r="B2391" s="371"/>
      <c r="C2391" s="850"/>
      <c r="D2391" s="871"/>
      <c r="E2391" s="871"/>
      <c r="F2391" s="238"/>
      <c r="G2391" s="238"/>
      <c r="H2391" s="231">
        <f t="shared" si="74"/>
        <v>0</v>
      </c>
      <c r="I2391" s="231">
        <f t="shared" si="75"/>
        <v>0</v>
      </c>
    </row>
    <row r="2392" spans="1:9" s="7" customFormat="1" hidden="1">
      <c r="A2392" s="1554"/>
      <c r="B2392" s="371"/>
      <c r="C2392" s="851"/>
      <c r="D2392" s="851"/>
      <c r="E2392" s="852"/>
      <c r="F2392" s="232"/>
      <c r="G2392" s="232"/>
      <c r="H2392" s="231">
        <f t="shared" si="74"/>
        <v>0</v>
      </c>
      <c r="I2392" s="231">
        <f t="shared" si="75"/>
        <v>0</v>
      </c>
    </row>
    <row r="2393" spans="1:9" s="7" customFormat="1" hidden="1">
      <c r="A2393" s="1554"/>
      <c r="B2393" s="371"/>
      <c r="C2393" s="850"/>
      <c r="D2393" s="850"/>
      <c r="E2393" s="844"/>
      <c r="F2393" s="232"/>
      <c r="G2393" s="232"/>
      <c r="H2393" s="231">
        <f t="shared" si="74"/>
        <v>0</v>
      </c>
      <c r="I2393" s="231">
        <f t="shared" si="75"/>
        <v>0</v>
      </c>
    </row>
    <row r="2394" spans="1:9" s="7" customFormat="1" hidden="1">
      <c r="A2394" s="1554"/>
      <c r="B2394" s="371"/>
      <c r="C2394" s="850"/>
      <c r="D2394" s="850"/>
      <c r="E2394" s="850"/>
      <c r="F2394" s="232"/>
      <c r="G2394" s="232"/>
      <c r="H2394" s="231">
        <f t="shared" si="74"/>
        <v>0</v>
      </c>
      <c r="I2394" s="231">
        <f t="shared" si="75"/>
        <v>0</v>
      </c>
    </row>
    <row r="2395" spans="1:9" s="7" customFormat="1" hidden="1">
      <c r="A2395" s="1554"/>
      <c r="B2395" s="371"/>
      <c r="C2395" s="844"/>
      <c r="D2395" s="862"/>
      <c r="E2395" s="862"/>
      <c r="F2395" s="232"/>
      <c r="G2395" s="232"/>
      <c r="H2395" s="231">
        <f t="shared" si="74"/>
        <v>0</v>
      </c>
      <c r="I2395" s="231">
        <f t="shared" si="75"/>
        <v>0</v>
      </c>
    </row>
    <row r="2396" spans="1:9" s="7" customFormat="1" hidden="1">
      <c r="A2396" s="1554"/>
      <c r="B2396" s="371"/>
      <c r="C2396" s="850"/>
      <c r="D2396" s="850"/>
      <c r="E2396" s="850"/>
      <c r="F2396" s="232"/>
      <c r="G2396" s="232"/>
      <c r="H2396" s="231">
        <f t="shared" si="74"/>
        <v>0</v>
      </c>
      <c r="I2396" s="231">
        <f t="shared" si="75"/>
        <v>0</v>
      </c>
    </row>
    <row r="2397" spans="1:9" s="7" customFormat="1" hidden="1">
      <c r="A2397" s="1554"/>
      <c r="B2397" s="371"/>
      <c r="C2397" s="850"/>
      <c r="D2397" s="850"/>
      <c r="E2397" s="844"/>
      <c r="F2397" s="232"/>
      <c r="G2397" s="232"/>
      <c r="H2397" s="231">
        <f t="shared" si="74"/>
        <v>0</v>
      </c>
      <c r="I2397" s="231">
        <f t="shared" si="75"/>
        <v>0</v>
      </c>
    </row>
    <row r="2398" spans="1:9" s="7" customFormat="1" hidden="1">
      <c r="A2398" s="1554"/>
      <c r="B2398" s="371"/>
      <c r="C2398" s="850"/>
      <c r="D2398" s="850"/>
      <c r="E2398" s="844"/>
      <c r="F2398" s="232"/>
      <c r="G2398" s="232"/>
      <c r="H2398" s="231">
        <f t="shared" si="74"/>
        <v>0</v>
      </c>
      <c r="I2398" s="231">
        <f t="shared" si="75"/>
        <v>0</v>
      </c>
    </row>
    <row r="2399" spans="1:9" s="7" customFormat="1" hidden="1">
      <c r="A2399" s="1554"/>
      <c r="B2399" s="371"/>
      <c r="C2399" s="850"/>
      <c r="D2399" s="850"/>
      <c r="E2399" s="844"/>
      <c r="F2399" s="232"/>
      <c r="G2399" s="232"/>
      <c r="H2399" s="231">
        <f t="shared" si="74"/>
        <v>0</v>
      </c>
      <c r="I2399" s="231">
        <f t="shared" si="75"/>
        <v>0</v>
      </c>
    </row>
    <row r="2400" spans="1:9" s="7" customFormat="1" ht="18" hidden="1" customHeight="1">
      <c r="A2400" s="1554"/>
      <c r="B2400" s="181"/>
      <c r="C2400" s="654"/>
      <c r="D2400" s="654"/>
      <c r="E2400" s="655"/>
      <c r="F2400" s="232"/>
      <c r="G2400" s="232"/>
      <c r="H2400" s="231">
        <f t="shared" si="74"/>
        <v>0</v>
      </c>
      <c r="I2400" s="231">
        <f t="shared" si="75"/>
        <v>0</v>
      </c>
    </row>
    <row r="2401" spans="1:9" s="7" customFormat="1" ht="18" hidden="1" customHeight="1">
      <c r="A2401" s="1554"/>
      <c r="B2401" s="181"/>
      <c r="C2401" s="654"/>
      <c r="D2401" s="654"/>
      <c r="E2401" s="655"/>
      <c r="F2401" s="232"/>
      <c r="G2401" s="232"/>
      <c r="H2401" s="231">
        <f t="shared" si="74"/>
        <v>0</v>
      </c>
      <c r="I2401" s="231">
        <f t="shared" si="75"/>
        <v>0</v>
      </c>
    </row>
    <row r="2402" spans="1:9" s="7" customFormat="1" ht="18" hidden="1" customHeight="1">
      <c r="A2402" s="1554"/>
      <c r="B2402" s="107"/>
      <c r="C2402" s="654"/>
      <c r="D2402" s="654"/>
      <c r="E2402" s="256"/>
      <c r="F2402" s="232"/>
      <c r="G2402" s="232"/>
      <c r="H2402" s="231">
        <f t="shared" si="74"/>
        <v>0</v>
      </c>
      <c r="I2402" s="231">
        <f t="shared" si="75"/>
        <v>0</v>
      </c>
    </row>
    <row r="2403" spans="1:9" s="7" customFormat="1" ht="18" hidden="1" customHeight="1">
      <c r="A2403" s="1554"/>
      <c r="B2403" s="107"/>
      <c r="C2403" s="654"/>
      <c r="D2403" s="654"/>
      <c r="E2403" s="256"/>
      <c r="F2403" s="232"/>
      <c r="G2403" s="232"/>
      <c r="H2403" s="231">
        <f t="shared" si="74"/>
        <v>0</v>
      </c>
      <c r="I2403" s="231">
        <f t="shared" si="75"/>
        <v>0</v>
      </c>
    </row>
    <row r="2404" spans="1:9" s="7" customFormat="1" ht="18" hidden="1" customHeight="1">
      <c r="A2404" s="1554"/>
      <c r="B2404" s="107"/>
      <c r="C2404" s="654"/>
      <c r="D2404" s="654"/>
      <c r="E2404" s="256"/>
      <c r="F2404" s="232"/>
      <c r="G2404" s="232"/>
      <c r="H2404" s="231">
        <f t="shared" si="74"/>
        <v>0</v>
      </c>
      <c r="I2404" s="231">
        <f t="shared" si="75"/>
        <v>0</v>
      </c>
    </row>
    <row r="2405" spans="1:9" s="7" customFormat="1" ht="18" hidden="1" customHeight="1">
      <c r="A2405" s="1554"/>
      <c r="B2405" s="107"/>
      <c r="C2405" s="654"/>
      <c r="D2405" s="654"/>
      <c r="E2405" s="256"/>
      <c r="F2405" s="232"/>
      <c r="G2405" s="232"/>
      <c r="H2405" s="231">
        <f t="shared" si="74"/>
        <v>0</v>
      </c>
      <c r="I2405" s="231">
        <f t="shared" si="75"/>
        <v>0</v>
      </c>
    </row>
    <row r="2406" spans="1:9" s="7" customFormat="1" ht="18" hidden="1" customHeight="1">
      <c r="A2406" s="1554"/>
      <c r="B2406" s="107"/>
      <c r="C2406" s="654"/>
      <c r="D2406" s="654"/>
      <c r="E2406" s="256"/>
      <c r="F2406" s="232"/>
      <c r="G2406" s="232"/>
      <c r="H2406" s="231">
        <f t="shared" si="74"/>
        <v>0</v>
      </c>
      <c r="I2406" s="231">
        <f t="shared" si="75"/>
        <v>0</v>
      </c>
    </row>
    <row r="2407" spans="1:9" s="7" customFormat="1" ht="18" hidden="1" customHeight="1">
      <c r="A2407" s="1554"/>
      <c r="B2407" s="107"/>
      <c r="C2407" s="654"/>
      <c r="D2407" s="654"/>
      <c r="E2407" s="256"/>
      <c r="F2407" s="232"/>
      <c r="G2407" s="232"/>
      <c r="H2407" s="231">
        <f t="shared" si="74"/>
        <v>0</v>
      </c>
      <c r="I2407" s="231">
        <f t="shared" si="75"/>
        <v>0</v>
      </c>
    </row>
    <row r="2408" spans="1:9" s="7" customFormat="1" ht="18" hidden="1" customHeight="1">
      <c r="A2408" s="1554"/>
      <c r="B2408" s="107"/>
      <c r="C2408" s="654"/>
      <c r="D2408" s="654"/>
      <c r="E2408" s="256"/>
      <c r="F2408" s="232"/>
      <c r="G2408" s="232"/>
      <c r="H2408" s="231">
        <f t="shared" si="74"/>
        <v>0</v>
      </c>
      <c r="I2408" s="231">
        <f t="shared" si="75"/>
        <v>0</v>
      </c>
    </row>
    <row r="2409" spans="1:9" s="7" customFormat="1" ht="18" hidden="1" customHeight="1">
      <c r="A2409" s="1554"/>
      <c r="B2409" s="107"/>
      <c r="C2409" s="654"/>
      <c r="D2409" s="654"/>
      <c r="E2409" s="256"/>
      <c r="F2409" s="232"/>
      <c r="G2409" s="232"/>
      <c r="H2409" s="231">
        <f t="shared" si="74"/>
        <v>0</v>
      </c>
      <c r="I2409" s="231">
        <f t="shared" si="75"/>
        <v>0</v>
      </c>
    </row>
    <row r="2410" spans="1:9" s="7" customFormat="1" ht="18" hidden="1" customHeight="1">
      <c r="A2410" s="1554"/>
      <c r="B2410" s="107"/>
      <c r="C2410" s="654"/>
      <c r="D2410" s="654"/>
      <c r="E2410" s="256"/>
      <c r="F2410" s="232"/>
      <c r="G2410" s="232"/>
      <c r="H2410" s="231">
        <f t="shared" si="74"/>
        <v>0</v>
      </c>
      <c r="I2410" s="231">
        <f t="shared" si="75"/>
        <v>0</v>
      </c>
    </row>
    <row r="2411" spans="1:9" s="7" customFormat="1" ht="18" hidden="1" customHeight="1">
      <c r="A2411" s="1554"/>
      <c r="B2411" s="119"/>
      <c r="C2411" s="705"/>
      <c r="D2411" s="728"/>
      <c r="E2411" s="728"/>
      <c r="F2411" s="238"/>
      <c r="G2411" s="238"/>
      <c r="H2411" s="231">
        <f t="shared" si="74"/>
        <v>0</v>
      </c>
      <c r="I2411" s="231">
        <f t="shared" si="75"/>
        <v>0</v>
      </c>
    </row>
    <row r="2412" spans="1:9" s="7" customFormat="1" ht="18" hidden="1" customHeight="1">
      <c r="A2412" s="1554"/>
      <c r="B2412" s="107"/>
      <c r="C2412" s="654"/>
      <c r="D2412" s="654"/>
      <c r="E2412" s="256"/>
      <c r="F2412" s="232"/>
      <c r="G2412" s="232"/>
      <c r="H2412" s="231">
        <f t="shared" si="74"/>
        <v>0</v>
      </c>
      <c r="I2412" s="231">
        <f t="shared" si="75"/>
        <v>0</v>
      </c>
    </row>
    <row r="2413" spans="1:9" s="7" customFormat="1" ht="18" hidden="1" customHeight="1">
      <c r="A2413" s="1554"/>
      <c r="B2413" s="107"/>
      <c r="C2413" s="654"/>
      <c r="D2413" s="654"/>
      <c r="E2413" s="256"/>
      <c r="F2413" s="232"/>
      <c r="G2413" s="232"/>
      <c r="H2413" s="231">
        <f t="shared" si="74"/>
        <v>0</v>
      </c>
      <c r="I2413" s="231">
        <f t="shared" si="75"/>
        <v>0</v>
      </c>
    </row>
    <row r="2414" spans="1:9" s="7" customFormat="1" hidden="1">
      <c r="A2414" s="1554"/>
      <c r="B2414" s="107"/>
      <c r="C2414" s="654"/>
      <c r="D2414" s="654"/>
      <c r="E2414" s="256"/>
      <c r="F2414" s="232"/>
      <c r="G2414" s="232"/>
      <c r="H2414" s="231">
        <f t="shared" si="74"/>
        <v>0</v>
      </c>
      <c r="I2414" s="231">
        <f t="shared" si="75"/>
        <v>0</v>
      </c>
    </row>
    <row r="2415" spans="1:9" s="7" customFormat="1" hidden="1">
      <c r="A2415" s="1554"/>
      <c r="B2415" s="107"/>
      <c r="C2415" s="654"/>
      <c r="D2415" s="654"/>
      <c r="E2415" s="256"/>
      <c r="F2415" s="232"/>
      <c r="G2415" s="232"/>
      <c r="H2415" s="231">
        <f t="shared" si="74"/>
        <v>0</v>
      </c>
      <c r="I2415" s="231">
        <f t="shared" si="75"/>
        <v>0</v>
      </c>
    </row>
    <row r="2416" spans="1:9" s="7" customFormat="1" hidden="1">
      <c r="A2416" s="1554"/>
      <c r="B2416" s="107"/>
      <c r="C2416" s="654"/>
      <c r="D2416" s="654"/>
      <c r="E2416" s="256"/>
      <c r="F2416" s="232"/>
      <c r="G2416" s="232"/>
      <c r="H2416" s="231">
        <f t="shared" si="74"/>
        <v>0</v>
      </c>
      <c r="I2416" s="231">
        <f t="shared" si="75"/>
        <v>0</v>
      </c>
    </row>
    <row r="2417" spans="1:12" s="7" customFormat="1" hidden="1">
      <c r="A2417" s="1554"/>
      <c r="B2417" s="107"/>
      <c r="C2417" s="654"/>
      <c r="D2417" s="654"/>
      <c r="E2417" s="256"/>
      <c r="F2417" s="232"/>
      <c r="G2417" s="232"/>
      <c r="H2417" s="231">
        <f t="shared" si="74"/>
        <v>0</v>
      </c>
      <c r="I2417" s="231">
        <f t="shared" si="75"/>
        <v>0</v>
      </c>
    </row>
    <row r="2418" spans="1:12" s="7" customFormat="1" hidden="1">
      <c r="A2418" s="1554"/>
      <c r="B2418" s="107"/>
      <c r="C2418" s="654"/>
      <c r="D2418" s="654"/>
      <c r="E2418" s="256"/>
      <c r="F2418" s="232"/>
      <c r="G2418" s="232"/>
      <c r="H2418" s="231">
        <f t="shared" si="74"/>
        <v>0</v>
      </c>
      <c r="I2418" s="231">
        <f t="shared" si="75"/>
        <v>0</v>
      </c>
    </row>
    <row r="2419" spans="1:12" s="7" customFormat="1" hidden="1">
      <c r="A2419" s="1554"/>
      <c r="B2419" s="107"/>
      <c r="C2419" s="654"/>
      <c r="D2419" s="654"/>
      <c r="E2419" s="256"/>
      <c r="F2419" s="232"/>
      <c r="G2419" s="232"/>
      <c r="H2419" s="231">
        <f t="shared" si="74"/>
        <v>0</v>
      </c>
      <c r="I2419" s="231">
        <f t="shared" si="75"/>
        <v>0</v>
      </c>
    </row>
    <row r="2420" spans="1:12" s="7" customFormat="1" hidden="1">
      <c r="A2420" s="1554"/>
      <c r="B2420" s="107"/>
      <c r="C2420" s="654"/>
      <c r="D2420" s="654"/>
      <c r="E2420" s="256"/>
      <c r="F2420" s="232"/>
      <c r="G2420" s="232"/>
      <c r="H2420" s="231">
        <f t="shared" si="74"/>
        <v>0</v>
      </c>
      <c r="I2420" s="231">
        <f t="shared" si="75"/>
        <v>0</v>
      </c>
    </row>
    <row r="2421" spans="1:12" s="7" customFormat="1" hidden="1">
      <c r="A2421" s="1554"/>
      <c r="B2421" s="107"/>
      <c r="C2421" s="654"/>
      <c r="D2421" s="654"/>
      <c r="E2421" s="256"/>
      <c r="F2421" s="232"/>
      <c r="G2421" s="232"/>
      <c r="H2421" s="231">
        <f t="shared" si="74"/>
        <v>0</v>
      </c>
      <c r="I2421" s="231">
        <f t="shared" si="75"/>
        <v>0</v>
      </c>
    </row>
    <row r="2422" spans="1:12" s="7" customFormat="1" hidden="1">
      <c r="A2422" s="1554"/>
      <c r="B2422" s="107"/>
      <c r="C2422" s="654"/>
      <c r="D2422" s="654"/>
      <c r="E2422" s="256"/>
      <c r="F2422" s="232"/>
      <c r="G2422" s="232"/>
      <c r="H2422" s="231">
        <f t="shared" si="74"/>
        <v>0</v>
      </c>
      <c r="I2422" s="231">
        <f t="shared" si="75"/>
        <v>0</v>
      </c>
    </row>
    <row r="2423" spans="1:12" s="7" customFormat="1" hidden="1">
      <c r="A2423" s="1554"/>
      <c r="B2423" s="107"/>
      <c r="C2423" s="654"/>
      <c r="D2423" s="654"/>
      <c r="E2423" s="256"/>
      <c r="F2423" s="232"/>
      <c r="G2423" s="232"/>
      <c r="H2423" s="231">
        <f t="shared" si="74"/>
        <v>0</v>
      </c>
      <c r="I2423" s="231">
        <f t="shared" si="75"/>
        <v>0</v>
      </c>
    </row>
    <row r="2424" spans="1:12" s="7" customFormat="1" hidden="1">
      <c r="A2424" s="1554"/>
      <c r="B2424" s="268"/>
      <c r="C2424" s="656"/>
      <c r="D2424" s="687"/>
      <c r="E2424" s="687"/>
      <c r="F2424" s="232"/>
      <c r="G2424" s="232"/>
      <c r="H2424" s="231">
        <f t="shared" si="74"/>
        <v>0</v>
      </c>
      <c r="I2424" s="231">
        <f t="shared" si="75"/>
        <v>0</v>
      </c>
    </row>
    <row r="2425" spans="1:12">
      <c r="A2425" s="1566"/>
      <c r="B2425" s="209" t="s">
        <v>985</v>
      </c>
      <c r="C2425" s="581">
        <f>SUM(C2354:C2424)</f>
        <v>459915</v>
      </c>
      <c r="D2425" s="581">
        <f>SUM(D2354:D2424)</f>
        <v>459915</v>
      </c>
      <c r="E2425" s="581">
        <f>SUM(E2354:E2424)</f>
        <v>0</v>
      </c>
      <c r="F2425" s="267">
        <f>SUM(F2354:F2424)</f>
        <v>0</v>
      </c>
      <c r="G2425" s="233">
        <f>SUM(G2354:G2424)</f>
        <v>0</v>
      </c>
      <c r="H2425" s="1497">
        <f t="shared" si="74"/>
        <v>0</v>
      </c>
      <c r="I2425" s="1497">
        <f t="shared" si="75"/>
        <v>919830</v>
      </c>
      <c r="J2425" s="1440"/>
      <c r="K2425" s="1490"/>
      <c r="L2425" s="1490"/>
    </row>
    <row r="2426" spans="1:12" ht="56.25">
      <c r="A2426" s="1566" t="s">
        <v>1087</v>
      </c>
      <c r="B2426" s="107" t="s">
        <v>1695</v>
      </c>
      <c r="C2426" s="817">
        <v>26848</v>
      </c>
      <c r="D2426" s="817">
        <v>13408</v>
      </c>
      <c r="E2426" s="184">
        <v>13440</v>
      </c>
      <c r="F2426" s="263"/>
      <c r="G2426" s="236"/>
      <c r="H2426" s="1497">
        <f t="shared" si="74"/>
        <v>0</v>
      </c>
      <c r="I2426" s="1497">
        <f t="shared" si="75"/>
        <v>53696</v>
      </c>
      <c r="J2426" s="1440"/>
      <c r="K2426" s="1490"/>
      <c r="L2426" s="1490"/>
    </row>
    <row r="2427" spans="1:12" hidden="1">
      <c r="A2427" s="1566"/>
      <c r="B2427" s="371"/>
      <c r="C2427" s="850"/>
      <c r="D2427" s="850"/>
      <c r="E2427" s="844"/>
      <c r="F2427" s="263"/>
      <c r="G2427" s="236"/>
      <c r="H2427" s="231">
        <f t="shared" si="74"/>
        <v>0</v>
      </c>
      <c r="I2427" s="231">
        <f t="shared" si="75"/>
        <v>0</v>
      </c>
    </row>
    <row r="2428" spans="1:12" hidden="1">
      <c r="A2428" s="1566"/>
      <c r="B2428" s="107"/>
      <c r="C2428" s="654"/>
      <c r="D2428" s="654"/>
      <c r="E2428" s="256"/>
      <c r="F2428" s="263"/>
      <c r="G2428" s="236"/>
      <c r="H2428" s="231">
        <f t="shared" si="74"/>
        <v>0</v>
      </c>
      <c r="I2428" s="231">
        <f t="shared" si="75"/>
        <v>0</v>
      </c>
    </row>
    <row r="2429" spans="1:12" hidden="1">
      <c r="A2429" s="1569"/>
      <c r="B2429" s="273"/>
      <c r="C2429" s="682"/>
      <c r="D2429" s="682"/>
      <c r="E2429" s="682"/>
      <c r="F2429" s="236"/>
      <c r="G2429" s="236"/>
      <c r="H2429" s="231">
        <f t="shared" si="74"/>
        <v>0</v>
      </c>
      <c r="I2429" s="231">
        <f t="shared" si="75"/>
        <v>0</v>
      </c>
    </row>
    <row r="2430" spans="1:12" hidden="1">
      <c r="A2430" s="1569"/>
      <c r="B2430" s="107"/>
      <c r="C2430" s="654"/>
      <c r="D2430" s="654"/>
      <c r="E2430" s="654"/>
      <c r="F2430" s="236"/>
      <c r="G2430" s="236"/>
      <c r="H2430" s="231">
        <f t="shared" si="74"/>
        <v>0</v>
      </c>
      <c r="I2430" s="231">
        <f t="shared" si="75"/>
        <v>0</v>
      </c>
    </row>
    <row r="2431" spans="1:12" hidden="1">
      <c r="A2431" s="1569"/>
      <c r="B2431" s="268"/>
      <c r="C2431" s="656"/>
      <c r="D2431" s="656"/>
      <c r="E2431" s="656"/>
      <c r="F2431" s="236"/>
      <c r="G2431" s="236"/>
      <c r="H2431" s="231">
        <f t="shared" si="74"/>
        <v>0</v>
      </c>
      <c r="I2431" s="231">
        <f t="shared" si="75"/>
        <v>0</v>
      </c>
    </row>
    <row r="2432" spans="1:12">
      <c r="A2432" s="1566"/>
      <c r="B2432" s="209" t="s">
        <v>985</v>
      </c>
      <c r="C2432" s="729">
        <f>SUM(C2426:C2431)</f>
        <v>26848</v>
      </c>
      <c r="D2432" s="729">
        <f>SUM(D2426:D2431)</f>
        <v>13408</v>
      </c>
      <c r="E2432" s="729">
        <f>SUM(E2426:E2431)</f>
        <v>13440</v>
      </c>
      <c r="F2432" s="263"/>
      <c r="G2432" s="236"/>
      <c r="H2432" s="1497">
        <f t="shared" si="74"/>
        <v>0</v>
      </c>
      <c r="I2432" s="1497">
        <f t="shared" si="75"/>
        <v>53696</v>
      </c>
      <c r="J2432" s="1440"/>
      <c r="K2432" s="1490"/>
      <c r="L2432" s="1490"/>
    </row>
    <row r="2433" spans="1:12" ht="36" customHeight="1">
      <c r="A2433" s="1566" t="s">
        <v>1088</v>
      </c>
      <c r="B2433" s="107" t="s">
        <v>1696</v>
      </c>
      <c r="C2433" s="184">
        <v>40000</v>
      </c>
      <c r="D2433" s="817">
        <v>40000</v>
      </c>
      <c r="E2433" s="184"/>
      <c r="F2433" s="263"/>
      <c r="G2433" s="236"/>
      <c r="H2433" s="1497">
        <f t="shared" si="74"/>
        <v>0</v>
      </c>
      <c r="I2433" s="1497">
        <f t="shared" si="75"/>
        <v>80000</v>
      </c>
      <c r="J2433" s="1440"/>
      <c r="K2433" s="1490"/>
      <c r="L2433" s="1490"/>
    </row>
    <row r="2434" spans="1:12" s="7" customFormat="1" hidden="1">
      <c r="A2434" s="1558"/>
      <c r="B2434" s="371"/>
      <c r="C2434" s="851"/>
      <c r="D2434" s="851"/>
      <c r="E2434" s="852"/>
      <c r="F2434" s="263"/>
      <c r="G2434" s="236"/>
      <c r="H2434" s="231">
        <f t="shared" si="74"/>
        <v>0</v>
      </c>
      <c r="I2434" s="231">
        <f t="shared" si="75"/>
        <v>0</v>
      </c>
    </row>
    <row r="2435" spans="1:12" s="7" customFormat="1" hidden="1">
      <c r="A2435" s="1554"/>
      <c r="B2435" s="371"/>
      <c r="C2435" s="844"/>
      <c r="D2435" s="844"/>
      <c r="E2435" s="844"/>
      <c r="F2435" s="236"/>
      <c r="G2435" s="236"/>
      <c r="H2435" s="231">
        <f t="shared" si="74"/>
        <v>0</v>
      </c>
      <c r="I2435" s="231">
        <f t="shared" si="75"/>
        <v>0</v>
      </c>
    </row>
    <row r="2436" spans="1:12" s="7" customFormat="1" hidden="1">
      <c r="A2436" s="1554"/>
      <c r="B2436" s="107"/>
      <c r="C2436" s="255"/>
      <c r="D2436" s="255"/>
      <c r="E2436" s="255"/>
      <c r="F2436" s="236"/>
      <c r="G2436" s="236"/>
      <c r="H2436" s="231">
        <f t="shared" si="74"/>
        <v>0</v>
      </c>
      <c r="I2436" s="231">
        <f t="shared" si="75"/>
        <v>0</v>
      </c>
    </row>
    <row r="2437" spans="1:12" s="7" customFormat="1" hidden="1">
      <c r="A2437" s="1554"/>
      <c r="B2437" s="268"/>
      <c r="C2437" s="684"/>
      <c r="D2437" s="684"/>
      <c r="E2437" s="684"/>
      <c r="F2437" s="236"/>
      <c r="G2437" s="236"/>
      <c r="H2437" s="231">
        <f t="shared" si="74"/>
        <v>0</v>
      </c>
      <c r="I2437" s="231">
        <f t="shared" si="75"/>
        <v>0</v>
      </c>
    </row>
    <row r="2438" spans="1:12">
      <c r="A2438" s="1566"/>
      <c r="B2438" s="209" t="s">
        <v>985</v>
      </c>
      <c r="C2438" s="729">
        <f>SUM(C2433:C2437)</f>
        <v>40000</v>
      </c>
      <c r="D2438" s="729">
        <f>SUM(D2433:D2437)</f>
        <v>40000</v>
      </c>
      <c r="E2438" s="729">
        <f>SUM(E2433:E2437)</f>
        <v>0</v>
      </c>
      <c r="F2438" s="263"/>
      <c r="G2438" s="236"/>
      <c r="H2438" s="1497">
        <f t="shared" si="74"/>
        <v>0</v>
      </c>
      <c r="I2438" s="1497">
        <f t="shared" si="75"/>
        <v>80000</v>
      </c>
      <c r="J2438" s="1440"/>
      <c r="K2438" s="1490"/>
      <c r="L2438" s="1490"/>
    </row>
    <row r="2439" spans="1:12" ht="37.5">
      <c r="A2439" s="1566" t="s">
        <v>1089</v>
      </c>
      <c r="B2439" s="107" t="s">
        <v>1697</v>
      </c>
      <c r="C2439" s="817">
        <v>25000</v>
      </c>
      <c r="D2439" s="817"/>
      <c r="E2439" s="184">
        <v>25000</v>
      </c>
      <c r="F2439" s="263"/>
      <c r="G2439" s="236"/>
      <c r="H2439" s="1497">
        <f t="shared" si="74"/>
        <v>0</v>
      </c>
      <c r="I2439" s="1497">
        <f t="shared" si="75"/>
        <v>50000</v>
      </c>
      <c r="J2439" s="1440"/>
      <c r="K2439" s="1490"/>
      <c r="L2439" s="1490"/>
    </row>
    <row r="2440" spans="1:12" hidden="1">
      <c r="A2440" s="1569"/>
      <c r="B2440" s="277"/>
      <c r="C2440" s="731"/>
      <c r="D2440" s="731"/>
      <c r="E2440" s="731"/>
      <c r="F2440" s="236"/>
      <c r="G2440" s="236"/>
      <c r="H2440" s="231">
        <f t="shared" si="74"/>
        <v>0</v>
      </c>
      <c r="I2440" s="231">
        <f t="shared" si="75"/>
        <v>0</v>
      </c>
    </row>
    <row r="2441" spans="1:12">
      <c r="A2441" s="1566"/>
      <c r="B2441" s="209" t="s">
        <v>985</v>
      </c>
      <c r="C2441" s="581">
        <f>SUM(C2439:C2440)</f>
        <v>25000</v>
      </c>
      <c r="D2441" s="581">
        <f>SUM(D2439:D2440)</f>
        <v>0</v>
      </c>
      <c r="E2441" s="581">
        <f>SUM(E2439:E2440)</f>
        <v>25000</v>
      </c>
      <c r="F2441" s="263"/>
      <c r="G2441" s="236"/>
      <c r="H2441" s="1497">
        <f t="shared" ref="H2441:H2504" si="76">E2441+D2441-C2441</f>
        <v>0</v>
      </c>
      <c r="I2441" s="1497">
        <f t="shared" ref="I2441:I2504" si="77">SUM(C2441:E2441)</f>
        <v>50000</v>
      </c>
      <c r="J2441" s="1440"/>
      <c r="K2441" s="1490"/>
      <c r="L2441" s="1490"/>
    </row>
    <row r="2442" spans="1:12" ht="56.25">
      <c r="A2442" s="1566" t="s">
        <v>1090</v>
      </c>
      <c r="B2442" s="425" t="s">
        <v>1698</v>
      </c>
      <c r="C2442" s="817">
        <v>27112</v>
      </c>
      <c r="D2442" s="817">
        <v>27112</v>
      </c>
      <c r="E2442" s="184"/>
      <c r="F2442" s="263"/>
      <c r="G2442" s="236"/>
      <c r="H2442" s="1497">
        <f t="shared" si="76"/>
        <v>0</v>
      </c>
      <c r="I2442" s="1497">
        <f t="shared" si="77"/>
        <v>54224</v>
      </c>
      <c r="J2442" s="1440"/>
      <c r="K2442" s="1490"/>
      <c r="L2442" s="1490"/>
    </row>
    <row r="2443" spans="1:12" hidden="1">
      <c r="A2443" s="1569"/>
      <c r="B2443" s="562"/>
      <c r="C2443" s="647"/>
      <c r="D2443" s="647"/>
      <c r="E2443" s="648"/>
      <c r="F2443" s="263"/>
      <c r="G2443" s="236"/>
      <c r="H2443" s="231">
        <f t="shared" si="76"/>
        <v>0</v>
      </c>
      <c r="I2443" s="231">
        <f t="shared" si="77"/>
        <v>0</v>
      </c>
    </row>
    <row r="2444" spans="1:12" hidden="1">
      <c r="A2444" s="1569"/>
      <c r="B2444" s="107"/>
      <c r="C2444" s="589"/>
      <c r="D2444" s="589"/>
      <c r="E2444" s="510"/>
      <c r="F2444" s="263"/>
      <c r="G2444" s="236"/>
      <c r="H2444" s="231">
        <f t="shared" si="76"/>
        <v>0</v>
      </c>
      <c r="I2444" s="231">
        <f t="shared" si="77"/>
        <v>0</v>
      </c>
    </row>
    <row r="2445" spans="1:12" hidden="1">
      <c r="A2445" s="1569"/>
      <c r="B2445" s="107"/>
      <c r="C2445" s="589"/>
      <c r="D2445" s="589"/>
      <c r="E2445" s="510"/>
      <c r="F2445" s="263"/>
      <c r="G2445" s="236"/>
      <c r="H2445" s="231">
        <f t="shared" si="76"/>
        <v>0</v>
      </c>
      <c r="I2445" s="231">
        <f t="shared" si="77"/>
        <v>0</v>
      </c>
    </row>
    <row r="2446" spans="1:12" hidden="1">
      <c r="A2446" s="1569"/>
      <c r="B2446" s="107"/>
      <c r="C2446" s="649"/>
      <c r="D2446" s="691"/>
      <c r="E2446" s="691"/>
      <c r="F2446" s="263"/>
      <c r="G2446" s="236"/>
      <c r="H2446" s="231">
        <f t="shared" si="76"/>
        <v>0</v>
      </c>
      <c r="I2446" s="231">
        <f t="shared" si="77"/>
        <v>0</v>
      </c>
    </row>
    <row r="2447" spans="1:12" hidden="1">
      <c r="A2447" s="1569"/>
      <c r="B2447" s="371"/>
      <c r="C2447" s="852"/>
      <c r="D2447" s="872"/>
      <c r="E2447" s="873"/>
      <c r="F2447" s="263"/>
      <c r="G2447" s="236"/>
      <c r="H2447" s="231">
        <f t="shared" si="76"/>
        <v>0</v>
      </c>
      <c r="I2447" s="231">
        <f t="shared" si="77"/>
        <v>0</v>
      </c>
    </row>
    <row r="2448" spans="1:12" hidden="1">
      <c r="A2448" s="1569"/>
      <c r="B2448" s="352"/>
      <c r="C2448" s="670"/>
      <c r="D2448" s="670"/>
      <c r="E2448" s="671"/>
      <c r="F2448" s="263"/>
      <c r="G2448" s="236"/>
      <c r="H2448" s="231">
        <f t="shared" si="76"/>
        <v>0</v>
      </c>
      <c r="I2448" s="231">
        <f t="shared" si="77"/>
        <v>0</v>
      </c>
    </row>
    <row r="2449" spans="1:9" hidden="1">
      <c r="A2449" s="1569"/>
      <c r="B2449" s="369"/>
      <c r="C2449" s="661"/>
      <c r="D2449" s="661"/>
      <c r="E2449" s="662"/>
      <c r="F2449" s="263"/>
      <c r="G2449" s="236"/>
      <c r="H2449" s="231">
        <f t="shared" si="76"/>
        <v>0</v>
      </c>
      <c r="I2449" s="231">
        <f t="shared" si="77"/>
        <v>0</v>
      </c>
    </row>
    <row r="2450" spans="1:9" hidden="1">
      <c r="A2450" s="1569"/>
      <c r="B2450" s="385"/>
      <c r="C2450" s="638"/>
      <c r="D2450" s="638"/>
      <c r="E2450" s="639"/>
      <c r="F2450" s="263"/>
      <c r="G2450" s="236"/>
      <c r="H2450" s="231">
        <f t="shared" si="76"/>
        <v>0</v>
      </c>
      <c r="I2450" s="231">
        <f t="shared" si="77"/>
        <v>0</v>
      </c>
    </row>
    <row r="2451" spans="1:9" hidden="1">
      <c r="A2451" s="1569"/>
      <c r="B2451" s="385"/>
      <c r="C2451" s="638"/>
      <c r="D2451" s="638"/>
      <c r="E2451" s="639"/>
      <c r="F2451" s="263"/>
      <c r="G2451" s="236"/>
      <c r="H2451" s="231">
        <f t="shared" si="76"/>
        <v>0</v>
      </c>
      <c r="I2451" s="231">
        <f t="shared" si="77"/>
        <v>0</v>
      </c>
    </row>
    <row r="2452" spans="1:9" hidden="1">
      <c r="A2452" s="1569"/>
      <c r="B2452" s="390"/>
      <c r="C2452" s="651"/>
      <c r="D2452" s="692"/>
      <c r="E2452" s="692"/>
      <c r="F2452" s="263"/>
      <c r="G2452" s="236"/>
      <c r="H2452" s="231">
        <f t="shared" si="76"/>
        <v>0</v>
      </c>
      <c r="I2452" s="231">
        <f t="shared" si="77"/>
        <v>0</v>
      </c>
    </row>
    <row r="2453" spans="1:9" hidden="1">
      <c r="A2453" s="1569"/>
      <c r="B2453" s="107"/>
      <c r="C2453" s="654"/>
      <c r="D2453" s="654"/>
      <c r="E2453" s="256"/>
      <c r="F2453" s="263"/>
      <c r="G2453" s="236"/>
      <c r="H2453" s="231">
        <f t="shared" si="76"/>
        <v>0</v>
      </c>
      <c r="I2453" s="231">
        <f t="shared" si="77"/>
        <v>0</v>
      </c>
    </row>
    <row r="2454" spans="1:9" hidden="1">
      <c r="A2454" s="1569"/>
      <c r="B2454" s="107"/>
      <c r="C2454" s="654"/>
      <c r="D2454" s="654"/>
      <c r="E2454" s="256"/>
      <c r="F2454" s="263"/>
      <c r="G2454" s="236"/>
      <c r="H2454" s="231">
        <f t="shared" si="76"/>
        <v>0</v>
      </c>
      <c r="I2454" s="231">
        <f t="shared" si="77"/>
        <v>0</v>
      </c>
    </row>
    <row r="2455" spans="1:9" hidden="1">
      <c r="A2455" s="1569"/>
      <c r="B2455" s="107"/>
      <c r="C2455" s="654"/>
      <c r="D2455" s="654"/>
      <c r="E2455" s="256"/>
      <c r="F2455" s="263"/>
      <c r="G2455" s="236"/>
      <c r="H2455" s="231">
        <f t="shared" si="76"/>
        <v>0</v>
      </c>
      <c r="I2455" s="231">
        <f t="shared" si="77"/>
        <v>0</v>
      </c>
    </row>
    <row r="2456" spans="1:9" hidden="1">
      <c r="A2456" s="1569"/>
      <c r="B2456" s="107"/>
      <c r="C2456" s="654"/>
      <c r="D2456" s="654"/>
      <c r="E2456" s="256"/>
      <c r="F2456" s="263"/>
      <c r="G2456" s="236"/>
      <c r="H2456" s="231">
        <f t="shared" si="76"/>
        <v>0</v>
      </c>
      <c r="I2456" s="231">
        <f t="shared" si="77"/>
        <v>0</v>
      </c>
    </row>
    <row r="2457" spans="1:9" hidden="1">
      <c r="A2457" s="1569"/>
      <c r="B2457" s="107"/>
      <c r="C2457" s="654"/>
      <c r="D2457" s="654"/>
      <c r="E2457" s="256"/>
      <c r="F2457" s="263"/>
      <c r="G2457" s="236"/>
      <c r="H2457" s="231">
        <f t="shared" si="76"/>
        <v>0</v>
      </c>
      <c r="I2457" s="231">
        <f t="shared" si="77"/>
        <v>0</v>
      </c>
    </row>
    <row r="2458" spans="1:9" hidden="1">
      <c r="A2458" s="1569"/>
      <c r="B2458" s="107"/>
      <c r="C2458" s="654"/>
      <c r="D2458" s="654"/>
      <c r="E2458" s="256"/>
      <c r="F2458" s="263"/>
      <c r="G2458" s="236"/>
      <c r="H2458" s="231">
        <f t="shared" si="76"/>
        <v>0</v>
      </c>
      <c r="I2458" s="231">
        <f t="shared" si="77"/>
        <v>0</v>
      </c>
    </row>
    <row r="2459" spans="1:9" hidden="1">
      <c r="A2459" s="1569"/>
      <c r="B2459" s="107"/>
      <c r="C2459" s="654"/>
      <c r="D2459" s="654"/>
      <c r="E2459" s="256"/>
      <c r="F2459" s="263"/>
      <c r="G2459" s="236"/>
      <c r="H2459" s="231">
        <f t="shared" si="76"/>
        <v>0</v>
      </c>
      <c r="I2459" s="231">
        <f t="shared" si="77"/>
        <v>0</v>
      </c>
    </row>
    <row r="2460" spans="1:9" hidden="1">
      <c r="A2460" s="1569"/>
      <c r="B2460" s="107"/>
      <c r="C2460" s="654"/>
      <c r="D2460" s="654"/>
      <c r="E2460" s="256"/>
      <c r="F2460" s="263"/>
      <c r="G2460" s="236"/>
      <c r="H2460" s="231">
        <f t="shared" si="76"/>
        <v>0</v>
      </c>
      <c r="I2460" s="231">
        <f t="shared" si="77"/>
        <v>0</v>
      </c>
    </row>
    <row r="2461" spans="1:9" hidden="1">
      <c r="A2461" s="1569"/>
      <c r="B2461" s="107"/>
      <c r="C2461" s="654"/>
      <c r="D2461" s="654"/>
      <c r="E2461" s="256"/>
      <c r="F2461" s="263"/>
      <c r="G2461" s="236"/>
      <c r="H2461" s="231">
        <f t="shared" si="76"/>
        <v>0</v>
      </c>
      <c r="I2461" s="231">
        <f t="shared" si="77"/>
        <v>0</v>
      </c>
    </row>
    <row r="2462" spans="1:9" hidden="1">
      <c r="A2462" s="1569"/>
      <c r="B2462" s="107"/>
      <c r="C2462" s="654"/>
      <c r="D2462" s="654"/>
      <c r="E2462" s="256"/>
      <c r="F2462" s="263"/>
      <c r="G2462" s="236"/>
      <c r="H2462" s="231">
        <f t="shared" si="76"/>
        <v>0</v>
      </c>
      <c r="I2462" s="231">
        <f t="shared" si="77"/>
        <v>0</v>
      </c>
    </row>
    <row r="2463" spans="1:9" hidden="1">
      <c r="A2463" s="1569"/>
      <c r="B2463" s="107"/>
      <c r="C2463" s="654"/>
      <c r="D2463" s="654"/>
      <c r="E2463" s="256"/>
      <c r="F2463" s="263"/>
      <c r="G2463" s="236"/>
      <c r="H2463" s="231">
        <f t="shared" si="76"/>
        <v>0</v>
      </c>
      <c r="I2463" s="231">
        <f t="shared" si="77"/>
        <v>0</v>
      </c>
    </row>
    <row r="2464" spans="1:9" hidden="1">
      <c r="A2464" s="1569"/>
      <c r="B2464" s="107"/>
      <c r="C2464" s="654"/>
      <c r="D2464" s="654"/>
      <c r="E2464" s="256"/>
      <c r="F2464" s="263"/>
      <c r="G2464" s="236"/>
      <c r="H2464" s="231">
        <f t="shared" si="76"/>
        <v>0</v>
      </c>
      <c r="I2464" s="231">
        <f t="shared" si="77"/>
        <v>0</v>
      </c>
    </row>
    <row r="2465" spans="1:12" hidden="1">
      <c r="A2465" s="1569"/>
      <c r="B2465" s="107"/>
      <c r="C2465" s="654"/>
      <c r="D2465" s="654"/>
      <c r="E2465" s="256"/>
      <c r="F2465" s="263"/>
      <c r="G2465" s="236"/>
      <c r="H2465" s="231">
        <f t="shared" si="76"/>
        <v>0</v>
      </c>
      <c r="I2465" s="231">
        <f t="shared" si="77"/>
        <v>0</v>
      </c>
    </row>
    <row r="2466" spans="1:12" hidden="1">
      <c r="A2466" s="1569"/>
      <c r="B2466" s="107"/>
      <c r="C2466" s="654"/>
      <c r="D2466" s="654"/>
      <c r="E2466" s="256"/>
      <c r="F2466" s="263"/>
      <c r="G2466" s="236"/>
      <c r="H2466" s="231">
        <f t="shared" si="76"/>
        <v>0</v>
      </c>
      <c r="I2466" s="231">
        <f t="shared" si="77"/>
        <v>0</v>
      </c>
    </row>
    <row r="2467" spans="1:12" hidden="1">
      <c r="A2467" s="1569"/>
      <c r="B2467" s="107"/>
      <c r="C2467" s="654"/>
      <c r="D2467" s="654"/>
      <c r="E2467" s="256"/>
      <c r="F2467" s="263"/>
      <c r="G2467" s="236"/>
      <c r="H2467" s="231">
        <f t="shared" si="76"/>
        <v>0</v>
      </c>
      <c r="I2467" s="231">
        <f t="shared" si="77"/>
        <v>0</v>
      </c>
    </row>
    <row r="2468" spans="1:12" hidden="1">
      <c r="A2468" s="1569"/>
      <c r="B2468" s="107"/>
      <c r="C2468" s="654"/>
      <c r="D2468" s="654"/>
      <c r="E2468" s="256"/>
      <c r="F2468" s="263"/>
      <c r="G2468" s="236"/>
      <c r="H2468" s="231">
        <f t="shared" si="76"/>
        <v>0</v>
      </c>
      <c r="I2468" s="231">
        <f t="shared" si="77"/>
        <v>0</v>
      </c>
    </row>
    <row r="2469" spans="1:12" hidden="1">
      <c r="A2469" s="1569"/>
      <c r="B2469" s="107"/>
      <c r="C2469" s="654"/>
      <c r="D2469" s="654"/>
      <c r="E2469" s="256"/>
      <c r="F2469" s="263"/>
      <c r="G2469" s="236"/>
      <c r="H2469" s="231">
        <f t="shared" si="76"/>
        <v>0</v>
      </c>
      <c r="I2469" s="231">
        <f t="shared" si="77"/>
        <v>0</v>
      </c>
    </row>
    <row r="2470" spans="1:12" hidden="1">
      <c r="A2470" s="1569"/>
      <c r="B2470" s="107"/>
      <c r="C2470" s="654"/>
      <c r="D2470" s="654"/>
      <c r="E2470" s="256"/>
      <c r="F2470" s="263"/>
      <c r="G2470" s="236"/>
      <c r="H2470" s="231">
        <f t="shared" si="76"/>
        <v>0</v>
      </c>
      <c r="I2470" s="231">
        <f t="shared" si="77"/>
        <v>0</v>
      </c>
    </row>
    <row r="2471" spans="1:12" hidden="1">
      <c r="A2471" s="1569"/>
      <c r="B2471" s="107"/>
      <c r="C2471" s="654"/>
      <c r="D2471" s="654"/>
      <c r="E2471" s="256"/>
      <c r="F2471" s="263"/>
      <c r="G2471" s="236"/>
      <c r="H2471" s="231">
        <f t="shared" si="76"/>
        <v>0</v>
      </c>
      <c r="I2471" s="231">
        <f t="shared" si="77"/>
        <v>0</v>
      </c>
    </row>
    <row r="2472" spans="1:12" hidden="1">
      <c r="A2472" s="1569"/>
      <c r="B2472" s="107"/>
      <c r="C2472" s="654"/>
      <c r="D2472" s="654"/>
      <c r="E2472" s="654"/>
      <c r="F2472" s="236"/>
      <c r="G2472" s="236"/>
      <c r="H2472" s="231">
        <f t="shared" si="76"/>
        <v>0</v>
      </c>
      <c r="I2472" s="231">
        <f t="shared" si="77"/>
        <v>0</v>
      </c>
    </row>
    <row r="2473" spans="1:12">
      <c r="A2473" s="1566"/>
      <c r="B2473" s="209" t="s">
        <v>985</v>
      </c>
      <c r="C2473" s="581">
        <f>SUM(C2442:C2472)</f>
        <v>27112</v>
      </c>
      <c r="D2473" s="581">
        <f>SUM(D2442:D2472)</f>
        <v>27112</v>
      </c>
      <c r="E2473" s="581">
        <f>SUM(E2442:E2472)</f>
        <v>0</v>
      </c>
      <c r="F2473" s="263"/>
      <c r="G2473" s="236"/>
      <c r="H2473" s="1497">
        <f t="shared" si="76"/>
        <v>0</v>
      </c>
      <c r="I2473" s="1497">
        <f t="shared" si="77"/>
        <v>54224</v>
      </c>
      <c r="J2473" s="1440"/>
      <c r="K2473" s="1490"/>
      <c r="L2473" s="1490"/>
    </row>
    <row r="2474" spans="1:12" ht="56.25">
      <c r="A2474" s="1566" t="s">
        <v>1091</v>
      </c>
      <c r="B2474" s="425" t="s">
        <v>1699</v>
      </c>
      <c r="C2474" s="649">
        <v>10000</v>
      </c>
      <c r="D2474" s="649">
        <v>10000</v>
      </c>
      <c r="E2474" s="184"/>
      <c r="F2474" s="263"/>
      <c r="G2474" s="236"/>
      <c r="H2474" s="1497">
        <f t="shared" si="76"/>
        <v>0</v>
      </c>
      <c r="I2474" s="1497">
        <f t="shared" si="77"/>
        <v>20000</v>
      </c>
      <c r="J2474" s="1440"/>
      <c r="K2474" s="1490"/>
      <c r="L2474" s="1490"/>
    </row>
    <row r="2475" spans="1:12" ht="75">
      <c r="A2475" s="1569"/>
      <c r="B2475" s="532" t="s">
        <v>1079</v>
      </c>
      <c r="C2475" s="701">
        <v>87500</v>
      </c>
      <c r="D2475" s="649"/>
      <c r="E2475" s="256">
        <v>87500</v>
      </c>
      <c r="F2475" s="236"/>
      <c r="G2475" s="236"/>
      <c r="H2475" s="1497">
        <f t="shared" si="76"/>
        <v>0</v>
      </c>
      <c r="I2475" s="1497">
        <f t="shared" si="77"/>
        <v>175000</v>
      </c>
      <c r="J2475" s="1440"/>
      <c r="K2475" s="1490"/>
      <c r="L2475" s="1490"/>
    </row>
    <row r="2476" spans="1:12" hidden="1">
      <c r="A2476" s="1569"/>
      <c r="B2476" s="755"/>
      <c r="C2476" s="802"/>
      <c r="D2476" s="802"/>
      <c r="E2476" s="802"/>
      <c r="F2476" s="263"/>
      <c r="G2476" s="236"/>
      <c r="H2476" s="231">
        <f t="shared" si="76"/>
        <v>0</v>
      </c>
      <c r="I2476" s="231">
        <f t="shared" si="77"/>
        <v>0</v>
      </c>
    </row>
    <row r="2477" spans="1:12" hidden="1">
      <c r="A2477" s="1569"/>
      <c r="B2477" s="345"/>
      <c r="C2477" s="669"/>
      <c r="D2477" s="669"/>
      <c r="E2477" s="669"/>
      <c r="F2477" s="263"/>
      <c r="G2477" s="236"/>
      <c r="H2477" s="231">
        <f t="shared" si="76"/>
        <v>0</v>
      </c>
      <c r="I2477" s="231">
        <f t="shared" si="77"/>
        <v>0</v>
      </c>
    </row>
    <row r="2478" spans="1:12" hidden="1">
      <c r="A2478" s="1569"/>
      <c r="B2478" s="334"/>
      <c r="C2478" s="510"/>
      <c r="D2478" s="511"/>
      <c r="E2478" s="510"/>
      <c r="F2478" s="263"/>
      <c r="G2478" s="236"/>
      <c r="H2478" s="231">
        <f t="shared" si="76"/>
        <v>0</v>
      </c>
      <c r="I2478" s="231">
        <f t="shared" si="77"/>
        <v>0</v>
      </c>
    </row>
    <row r="2479" spans="1:12" hidden="1">
      <c r="A2479" s="1569"/>
      <c r="B2479" s="334"/>
      <c r="C2479" s="510"/>
      <c r="D2479" s="511"/>
      <c r="E2479" s="510"/>
      <c r="F2479" s="263"/>
      <c r="G2479" s="236"/>
      <c r="H2479" s="231">
        <f t="shared" si="76"/>
        <v>0</v>
      </c>
      <c r="I2479" s="231">
        <f t="shared" si="77"/>
        <v>0</v>
      </c>
    </row>
    <row r="2480" spans="1:12" hidden="1">
      <c r="A2480" s="1569"/>
      <c r="B2480" s="334"/>
      <c r="C2480" s="510"/>
      <c r="D2480" s="511"/>
      <c r="E2480" s="510"/>
      <c r="F2480" s="263"/>
      <c r="G2480" s="236"/>
      <c r="H2480" s="231">
        <f t="shared" si="76"/>
        <v>0</v>
      </c>
      <c r="I2480" s="231">
        <f t="shared" si="77"/>
        <v>0</v>
      </c>
    </row>
    <row r="2481" spans="1:12" hidden="1">
      <c r="A2481" s="1569"/>
      <c r="B2481" s="334"/>
      <c r="C2481" s="510"/>
      <c r="D2481" s="511"/>
      <c r="E2481" s="510"/>
      <c r="F2481" s="263"/>
      <c r="G2481" s="236"/>
      <c r="H2481" s="231">
        <f t="shared" si="76"/>
        <v>0</v>
      </c>
      <c r="I2481" s="231">
        <f t="shared" si="77"/>
        <v>0</v>
      </c>
    </row>
    <row r="2482" spans="1:12" hidden="1">
      <c r="A2482" s="1569"/>
      <c r="B2482" s="334"/>
      <c r="C2482" s="510"/>
      <c r="D2482" s="511"/>
      <c r="E2482" s="510"/>
      <c r="F2482" s="263"/>
      <c r="G2482" s="236"/>
      <c r="H2482" s="231">
        <f t="shared" si="76"/>
        <v>0</v>
      </c>
      <c r="I2482" s="231">
        <f t="shared" si="77"/>
        <v>0</v>
      </c>
    </row>
    <row r="2483" spans="1:12">
      <c r="A2483" s="1566"/>
      <c r="B2483" s="209" t="s">
        <v>985</v>
      </c>
      <c r="C2483" s="581">
        <f>SUM(C2474:C2482)</f>
        <v>97500</v>
      </c>
      <c r="D2483" s="581">
        <f>SUM(D2474:D2482)</f>
        <v>10000</v>
      </c>
      <c r="E2483" s="581">
        <f>SUM(E2474:E2482)</f>
        <v>87500</v>
      </c>
      <c r="F2483" s="263"/>
      <c r="G2483" s="236"/>
      <c r="H2483" s="1497">
        <f t="shared" si="76"/>
        <v>0</v>
      </c>
      <c r="I2483" s="1497">
        <f t="shared" si="77"/>
        <v>195000</v>
      </c>
      <c r="J2483" s="1440"/>
      <c r="K2483" s="1490"/>
      <c r="L2483" s="1490"/>
    </row>
    <row r="2484" spans="1:12" ht="112.5" hidden="1">
      <c r="A2484" s="1566" t="s">
        <v>1092</v>
      </c>
      <c r="B2484" s="107" t="s">
        <v>773</v>
      </c>
      <c r="C2484" s="589">
        <f>100000-100000</f>
        <v>0</v>
      </c>
      <c r="D2484" s="589"/>
      <c r="E2484" s="510">
        <f>100000-100000</f>
        <v>0</v>
      </c>
      <c r="F2484" s="263"/>
      <c r="G2484" s="236"/>
      <c r="H2484" s="231">
        <f t="shared" si="76"/>
        <v>0</v>
      </c>
      <c r="I2484" s="231">
        <f t="shared" si="77"/>
        <v>0</v>
      </c>
    </row>
    <row r="2485" spans="1:12" ht="56.25">
      <c r="A2485" s="1566"/>
      <c r="B2485" s="1215" t="s">
        <v>1391</v>
      </c>
      <c r="C2485" s="1214">
        <v>200000</v>
      </c>
      <c r="D2485" s="256"/>
      <c r="E2485" s="256">
        <v>200000</v>
      </c>
      <c r="F2485" s="263"/>
      <c r="G2485" s="236"/>
      <c r="H2485" s="1497">
        <f t="shared" si="76"/>
        <v>0</v>
      </c>
      <c r="I2485" s="1497">
        <f t="shared" si="77"/>
        <v>400000</v>
      </c>
      <c r="J2485" s="1440"/>
      <c r="K2485" s="1490"/>
      <c r="L2485" s="1490"/>
    </row>
    <row r="2486" spans="1:12" ht="75">
      <c r="A2486" s="1566"/>
      <c r="B2486" s="107" t="s">
        <v>1700</v>
      </c>
      <c r="C2486" s="184">
        <v>10000</v>
      </c>
      <c r="D2486" s="184">
        <v>10000</v>
      </c>
      <c r="E2486" s="184"/>
      <c r="F2486" s="263"/>
      <c r="G2486" s="236"/>
      <c r="H2486" s="1497">
        <f t="shared" si="76"/>
        <v>0</v>
      </c>
      <c r="I2486" s="1497">
        <f t="shared" si="77"/>
        <v>20000</v>
      </c>
      <c r="J2486" s="1440"/>
      <c r="K2486" s="1490"/>
      <c r="L2486" s="1490"/>
    </row>
    <row r="2487" spans="1:12" ht="75">
      <c r="A2487" s="1566"/>
      <c r="B2487" s="107" t="s">
        <v>1701</v>
      </c>
      <c r="C2487" s="184">
        <v>5500</v>
      </c>
      <c r="D2487" s="184">
        <v>5500</v>
      </c>
      <c r="E2487" s="184"/>
      <c r="F2487" s="263"/>
      <c r="G2487" s="236"/>
      <c r="H2487" s="1497">
        <f t="shared" si="76"/>
        <v>0</v>
      </c>
      <c r="I2487" s="1497">
        <f t="shared" si="77"/>
        <v>11000</v>
      </c>
      <c r="J2487" s="1440"/>
      <c r="K2487" s="1490"/>
      <c r="L2487" s="1490"/>
    </row>
    <row r="2488" spans="1:12" ht="75">
      <c r="A2488" s="1566"/>
      <c r="B2488" s="107" t="s">
        <v>1702</v>
      </c>
      <c r="C2488" s="184">
        <v>30000</v>
      </c>
      <c r="D2488" s="184">
        <v>30000</v>
      </c>
      <c r="E2488" s="184"/>
      <c r="F2488" s="263"/>
      <c r="G2488" s="236"/>
      <c r="H2488" s="1497">
        <f t="shared" si="76"/>
        <v>0</v>
      </c>
      <c r="I2488" s="1497">
        <f t="shared" si="77"/>
        <v>60000</v>
      </c>
      <c r="J2488" s="1440"/>
      <c r="K2488" s="1490"/>
      <c r="L2488" s="1490"/>
    </row>
    <row r="2489" spans="1:12" ht="56.25">
      <c r="A2489" s="1566"/>
      <c r="B2489" s="107" t="s">
        <v>1703</v>
      </c>
      <c r="C2489" s="184">
        <v>2000</v>
      </c>
      <c r="D2489" s="184">
        <v>2000</v>
      </c>
      <c r="E2489" s="184"/>
      <c r="F2489" s="263"/>
      <c r="G2489" s="236"/>
      <c r="H2489" s="1497">
        <f t="shared" si="76"/>
        <v>0</v>
      </c>
      <c r="I2489" s="1497">
        <f t="shared" si="77"/>
        <v>4000</v>
      </c>
      <c r="J2489" s="1440"/>
      <c r="K2489" s="1490"/>
      <c r="L2489" s="1490"/>
    </row>
    <row r="2490" spans="1:12" ht="56.25">
      <c r="A2490" s="1566"/>
      <c r="B2490" s="107" t="s">
        <v>1704</v>
      </c>
      <c r="C2490" s="184">
        <v>9300</v>
      </c>
      <c r="D2490" s="184">
        <v>9300</v>
      </c>
      <c r="E2490" s="184"/>
      <c r="F2490" s="263"/>
      <c r="G2490" s="236"/>
      <c r="H2490" s="1497">
        <f t="shared" si="76"/>
        <v>0</v>
      </c>
      <c r="I2490" s="1497">
        <f t="shared" si="77"/>
        <v>18600</v>
      </c>
      <c r="J2490" s="1440"/>
      <c r="K2490" s="1490"/>
      <c r="L2490" s="1490"/>
    </row>
    <row r="2491" spans="1:12" ht="56.25">
      <c r="A2491" s="1566"/>
      <c r="B2491" s="107" t="s">
        <v>1705</v>
      </c>
      <c r="C2491" s="184">
        <v>8000</v>
      </c>
      <c r="D2491" s="184">
        <v>8000</v>
      </c>
      <c r="E2491" s="184"/>
      <c r="F2491" s="263"/>
      <c r="G2491" s="236"/>
      <c r="H2491" s="1497">
        <f t="shared" si="76"/>
        <v>0</v>
      </c>
      <c r="I2491" s="1497">
        <f t="shared" si="77"/>
        <v>16000</v>
      </c>
      <c r="J2491" s="1440"/>
      <c r="K2491" s="1490"/>
      <c r="L2491" s="1490"/>
    </row>
    <row r="2492" spans="1:12" ht="75">
      <c r="A2492" s="1566"/>
      <c r="B2492" s="107" t="s">
        <v>1706</v>
      </c>
      <c r="C2492" s="184">
        <v>20000</v>
      </c>
      <c r="D2492" s="184">
        <v>20000</v>
      </c>
      <c r="E2492" s="184"/>
      <c r="F2492" s="263"/>
      <c r="G2492" s="236"/>
      <c r="H2492" s="1497">
        <f t="shared" si="76"/>
        <v>0</v>
      </c>
      <c r="I2492" s="1497">
        <f t="shared" si="77"/>
        <v>40000</v>
      </c>
      <c r="J2492" s="1440"/>
      <c r="K2492" s="1490"/>
      <c r="L2492" s="1490"/>
    </row>
    <row r="2493" spans="1:12" hidden="1">
      <c r="A2493" s="1566"/>
      <c r="B2493" s="107"/>
      <c r="C2493" s="589"/>
      <c r="D2493" s="589"/>
      <c r="E2493" s="510"/>
      <c r="F2493" s="263"/>
      <c r="G2493" s="236"/>
      <c r="H2493" s="231">
        <f t="shared" si="76"/>
        <v>0</v>
      </c>
      <c r="I2493" s="231">
        <f t="shared" si="77"/>
        <v>0</v>
      </c>
    </row>
    <row r="2494" spans="1:12" hidden="1">
      <c r="A2494" s="1566"/>
      <c r="B2494" s="107"/>
      <c r="C2494" s="589"/>
      <c r="D2494" s="589"/>
      <c r="E2494" s="510"/>
      <c r="F2494" s="263"/>
      <c r="G2494" s="236"/>
      <c r="H2494" s="231">
        <f t="shared" si="76"/>
        <v>0</v>
      </c>
      <c r="I2494" s="231">
        <f t="shared" si="77"/>
        <v>0</v>
      </c>
    </row>
    <row r="2495" spans="1:12" hidden="1">
      <c r="A2495" s="1566"/>
      <c r="B2495" s="617"/>
      <c r="C2495" s="633"/>
      <c r="D2495" s="633"/>
      <c r="E2495" s="633"/>
      <c r="F2495" s="263"/>
      <c r="G2495" s="236"/>
      <c r="H2495" s="231">
        <f t="shared" si="76"/>
        <v>0</v>
      </c>
      <c r="I2495" s="231">
        <f t="shared" si="77"/>
        <v>0</v>
      </c>
    </row>
    <row r="2496" spans="1:12" hidden="1">
      <c r="A2496" s="1566"/>
      <c r="B2496" s="107"/>
      <c r="C2496" s="649"/>
      <c r="D2496" s="649"/>
      <c r="E2496" s="256"/>
      <c r="F2496" s="263"/>
      <c r="G2496" s="236"/>
      <c r="H2496" s="231">
        <f t="shared" si="76"/>
        <v>0</v>
      </c>
      <c r="I2496" s="231">
        <f t="shared" si="77"/>
        <v>0</v>
      </c>
    </row>
    <row r="2497" spans="1:9" hidden="1">
      <c r="A2497" s="1566"/>
      <c r="B2497" s="107"/>
      <c r="C2497" s="256"/>
      <c r="D2497" s="700"/>
      <c r="E2497" s="691"/>
      <c r="F2497" s="263"/>
      <c r="G2497" s="236"/>
      <c r="H2497" s="231">
        <f t="shared" si="76"/>
        <v>0</v>
      </c>
      <c r="I2497" s="231">
        <f t="shared" si="77"/>
        <v>0</v>
      </c>
    </row>
    <row r="2498" spans="1:9" hidden="1">
      <c r="A2498" s="1566"/>
      <c r="B2498" s="107"/>
      <c r="C2498" s="256"/>
      <c r="D2498" s="700"/>
      <c r="E2498" s="691"/>
      <c r="F2498" s="263"/>
      <c r="G2498" s="236"/>
      <c r="H2498" s="231">
        <f t="shared" si="76"/>
        <v>0</v>
      </c>
      <c r="I2498" s="231">
        <f t="shared" si="77"/>
        <v>0</v>
      </c>
    </row>
    <row r="2499" spans="1:9" hidden="1">
      <c r="A2499" s="1566"/>
      <c r="B2499" s="107"/>
      <c r="C2499" s="256"/>
      <c r="D2499" s="700"/>
      <c r="E2499" s="691"/>
      <c r="F2499" s="263"/>
      <c r="G2499" s="236"/>
      <c r="H2499" s="231">
        <f t="shared" si="76"/>
        <v>0</v>
      </c>
      <c r="I2499" s="231">
        <f t="shared" si="77"/>
        <v>0</v>
      </c>
    </row>
    <row r="2500" spans="1:9" hidden="1">
      <c r="A2500" s="1566"/>
      <c r="B2500" s="107"/>
      <c r="C2500" s="256"/>
      <c r="D2500" s="700"/>
      <c r="E2500" s="691"/>
      <c r="F2500" s="263"/>
      <c r="G2500" s="236"/>
      <c r="H2500" s="231">
        <f t="shared" si="76"/>
        <v>0</v>
      </c>
      <c r="I2500" s="231">
        <f t="shared" si="77"/>
        <v>0</v>
      </c>
    </row>
    <row r="2501" spans="1:9" hidden="1">
      <c r="A2501" s="1566"/>
      <c r="B2501" s="107"/>
      <c r="C2501" s="256"/>
      <c r="D2501" s="700"/>
      <c r="E2501" s="691"/>
      <c r="F2501" s="263"/>
      <c r="G2501" s="236"/>
      <c r="H2501" s="231">
        <f t="shared" si="76"/>
        <v>0</v>
      </c>
      <c r="I2501" s="231">
        <f t="shared" si="77"/>
        <v>0</v>
      </c>
    </row>
    <row r="2502" spans="1:9" hidden="1">
      <c r="A2502" s="1566"/>
      <c r="B2502" s="425"/>
      <c r="C2502" s="580"/>
      <c r="D2502" s="580"/>
      <c r="E2502" s="580"/>
      <c r="F2502" s="263"/>
      <c r="G2502" s="236"/>
      <c r="H2502" s="231">
        <f t="shared" si="76"/>
        <v>0</v>
      </c>
      <c r="I2502" s="231">
        <f t="shared" si="77"/>
        <v>0</v>
      </c>
    </row>
    <row r="2503" spans="1:9" hidden="1">
      <c r="A2503" s="1566"/>
      <c r="B2503" s="425"/>
      <c r="C2503" s="649"/>
      <c r="D2503" s="649"/>
      <c r="E2503" s="256"/>
      <c r="F2503" s="263"/>
      <c r="G2503" s="236"/>
      <c r="H2503" s="231">
        <f t="shared" si="76"/>
        <v>0</v>
      </c>
      <c r="I2503" s="231">
        <f t="shared" si="77"/>
        <v>0</v>
      </c>
    </row>
    <row r="2504" spans="1:9" hidden="1">
      <c r="A2504" s="1566"/>
      <c r="B2504" s="425"/>
      <c r="C2504" s="649"/>
      <c r="D2504" s="649"/>
      <c r="E2504" s="256"/>
      <c r="F2504" s="263"/>
      <c r="G2504" s="236"/>
      <c r="H2504" s="231">
        <f t="shared" si="76"/>
        <v>0</v>
      </c>
      <c r="I2504" s="231">
        <f t="shared" si="77"/>
        <v>0</v>
      </c>
    </row>
    <row r="2505" spans="1:9" hidden="1">
      <c r="A2505" s="1566"/>
      <c r="B2505" s="107"/>
      <c r="C2505" s="649"/>
      <c r="D2505" s="649"/>
      <c r="E2505" s="256"/>
      <c r="F2505" s="263"/>
      <c r="G2505" s="236"/>
      <c r="H2505" s="231">
        <f t="shared" ref="H2505:H2568" si="78">E2505+D2505-C2505</f>
        <v>0</v>
      </c>
      <c r="I2505" s="231">
        <f t="shared" ref="I2505:I2568" si="79">SUM(C2505:E2505)</f>
        <v>0</v>
      </c>
    </row>
    <row r="2506" spans="1:9" hidden="1">
      <c r="A2506" s="1566"/>
      <c r="B2506" s="425"/>
      <c r="C2506" s="649"/>
      <c r="D2506" s="649"/>
      <c r="E2506" s="256"/>
      <c r="F2506" s="263"/>
      <c r="G2506" s="236"/>
      <c r="H2506" s="231">
        <f t="shared" si="78"/>
        <v>0</v>
      </c>
      <c r="I2506" s="231">
        <f t="shared" si="79"/>
        <v>0</v>
      </c>
    </row>
    <row r="2507" spans="1:9" s="756" customFormat="1" hidden="1">
      <c r="A2507" s="1566"/>
      <c r="B2507" s="371"/>
      <c r="C2507" s="665"/>
      <c r="D2507" s="665"/>
      <c r="E2507" s="665"/>
      <c r="F2507" s="800"/>
      <c r="G2507" s="801"/>
      <c r="H2507" s="231">
        <f t="shared" si="78"/>
        <v>0</v>
      </c>
      <c r="I2507" s="231">
        <f t="shared" si="79"/>
        <v>0</v>
      </c>
    </row>
    <row r="2508" spans="1:9" hidden="1">
      <c r="A2508" s="1566"/>
      <c r="B2508" s="371"/>
      <c r="C2508" s="665"/>
      <c r="D2508" s="665"/>
      <c r="E2508" s="665"/>
      <c r="F2508" s="263"/>
      <c r="G2508" s="236"/>
      <c r="H2508" s="231">
        <f t="shared" si="78"/>
        <v>0</v>
      </c>
      <c r="I2508" s="231">
        <f t="shared" si="79"/>
        <v>0</v>
      </c>
    </row>
    <row r="2509" spans="1:9" hidden="1">
      <c r="A2509" s="1566"/>
      <c r="B2509" s="371"/>
      <c r="C2509" s="851"/>
      <c r="D2509" s="851"/>
      <c r="E2509" s="852"/>
      <c r="F2509" s="263"/>
      <c r="G2509" s="236"/>
      <c r="H2509" s="231">
        <f t="shared" si="78"/>
        <v>0</v>
      </c>
      <c r="I2509" s="231">
        <f t="shared" si="79"/>
        <v>0</v>
      </c>
    </row>
    <row r="2510" spans="1:9" hidden="1">
      <c r="A2510" s="1566"/>
      <c r="B2510" s="371"/>
      <c r="C2510" s="851"/>
      <c r="D2510" s="851"/>
      <c r="E2510" s="852"/>
      <c r="F2510" s="263"/>
      <c r="G2510" s="236"/>
      <c r="H2510" s="231">
        <f t="shared" si="78"/>
        <v>0</v>
      </c>
      <c r="I2510" s="231">
        <f t="shared" si="79"/>
        <v>0</v>
      </c>
    </row>
    <row r="2511" spans="1:9" hidden="1">
      <c r="A2511" s="1566"/>
      <c r="B2511" s="371"/>
      <c r="C2511" s="851"/>
      <c r="D2511" s="851"/>
      <c r="E2511" s="852"/>
      <c r="F2511" s="263"/>
      <c r="G2511" s="236"/>
      <c r="H2511" s="231">
        <f t="shared" si="78"/>
        <v>0</v>
      </c>
      <c r="I2511" s="231">
        <f t="shared" si="79"/>
        <v>0</v>
      </c>
    </row>
    <row r="2512" spans="1:9" hidden="1">
      <c r="A2512" s="1566"/>
      <c r="B2512" s="181"/>
      <c r="C2512" s="654"/>
      <c r="D2512" s="654"/>
      <c r="E2512" s="655"/>
      <c r="F2512" s="263"/>
      <c r="G2512" s="236"/>
      <c r="H2512" s="231">
        <f t="shared" si="78"/>
        <v>0</v>
      </c>
      <c r="I2512" s="231">
        <f t="shared" si="79"/>
        <v>0</v>
      </c>
    </row>
    <row r="2513" spans="1:9" hidden="1">
      <c r="A2513" s="1566"/>
      <c r="B2513" s="181"/>
      <c r="C2513" s="654"/>
      <c r="D2513" s="654"/>
      <c r="E2513" s="655"/>
      <c r="F2513" s="263"/>
      <c r="G2513" s="236"/>
      <c r="H2513" s="231">
        <f t="shared" si="78"/>
        <v>0</v>
      </c>
      <c r="I2513" s="231">
        <f t="shared" si="79"/>
        <v>0</v>
      </c>
    </row>
    <row r="2514" spans="1:9" hidden="1">
      <c r="A2514" s="1566"/>
      <c r="B2514" s="181"/>
      <c r="C2514" s="654"/>
      <c r="D2514" s="654"/>
      <c r="E2514" s="655"/>
      <c r="F2514" s="263"/>
      <c r="G2514" s="236"/>
      <c r="H2514" s="231">
        <f t="shared" si="78"/>
        <v>0</v>
      </c>
      <c r="I2514" s="231">
        <f t="shared" si="79"/>
        <v>0</v>
      </c>
    </row>
    <row r="2515" spans="1:9" hidden="1">
      <c r="A2515" s="1566"/>
      <c r="B2515" s="181"/>
      <c r="C2515" s="654"/>
      <c r="D2515" s="654"/>
      <c r="E2515" s="655"/>
      <c r="F2515" s="263"/>
      <c r="G2515" s="236"/>
      <c r="H2515" s="231">
        <f t="shared" si="78"/>
        <v>0</v>
      </c>
      <c r="I2515" s="231">
        <f t="shared" si="79"/>
        <v>0</v>
      </c>
    </row>
    <row r="2516" spans="1:9" hidden="1">
      <c r="A2516" s="1566"/>
      <c r="B2516" s="181"/>
      <c r="C2516" s="654"/>
      <c r="D2516" s="654"/>
      <c r="E2516" s="655"/>
      <c r="F2516" s="263"/>
      <c r="G2516" s="236"/>
      <c r="H2516" s="231">
        <f t="shared" si="78"/>
        <v>0</v>
      </c>
      <c r="I2516" s="231">
        <f t="shared" si="79"/>
        <v>0</v>
      </c>
    </row>
    <row r="2517" spans="1:9" hidden="1">
      <c r="A2517" s="1566"/>
      <c r="B2517" s="181"/>
      <c r="C2517" s="654"/>
      <c r="D2517" s="654"/>
      <c r="E2517" s="655"/>
      <c r="F2517" s="263"/>
      <c r="G2517" s="236"/>
      <c r="H2517" s="231">
        <f t="shared" si="78"/>
        <v>0</v>
      </c>
      <c r="I2517" s="231">
        <f t="shared" si="79"/>
        <v>0</v>
      </c>
    </row>
    <row r="2518" spans="1:9" hidden="1">
      <c r="A2518" s="1566"/>
      <c r="B2518" s="181"/>
      <c r="C2518" s="655"/>
      <c r="D2518" s="654"/>
      <c r="E2518" s="655"/>
      <c r="F2518" s="263"/>
      <c r="G2518" s="236"/>
      <c r="H2518" s="231">
        <f t="shared" si="78"/>
        <v>0</v>
      </c>
      <c r="I2518" s="231">
        <f t="shared" si="79"/>
        <v>0</v>
      </c>
    </row>
    <row r="2519" spans="1:9" s="7" customFormat="1" hidden="1">
      <c r="A2519" s="1558"/>
      <c r="B2519" s="107"/>
      <c r="C2519" s="654"/>
      <c r="D2519" s="256"/>
      <c r="E2519" s="256"/>
      <c r="F2519" s="263"/>
      <c r="G2519" s="236"/>
      <c r="H2519" s="231">
        <f t="shared" si="78"/>
        <v>0</v>
      </c>
      <c r="I2519" s="231">
        <f t="shared" si="79"/>
        <v>0</v>
      </c>
    </row>
    <row r="2520" spans="1:9" s="7" customFormat="1" hidden="1">
      <c r="A2520" s="1558"/>
      <c r="B2520" s="107"/>
      <c r="C2520" s="654"/>
      <c r="D2520" s="256"/>
      <c r="E2520" s="256"/>
      <c r="F2520" s="263"/>
      <c r="G2520" s="236"/>
      <c r="H2520" s="231">
        <f t="shared" si="78"/>
        <v>0</v>
      </c>
      <c r="I2520" s="231">
        <f t="shared" si="79"/>
        <v>0</v>
      </c>
    </row>
    <row r="2521" spans="1:9" s="7" customFormat="1" hidden="1">
      <c r="A2521" s="1558"/>
      <c r="B2521" s="107"/>
      <c r="C2521" s="654"/>
      <c r="D2521" s="256"/>
      <c r="E2521" s="256"/>
      <c r="F2521" s="263"/>
      <c r="G2521" s="236"/>
      <c r="H2521" s="231">
        <f t="shared" si="78"/>
        <v>0</v>
      </c>
      <c r="I2521" s="231">
        <f t="shared" si="79"/>
        <v>0</v>
      </c>
    </row>
    <row r="2522" spans="1:9" s="7" customFormat="1" hidden="1">
      <c r="A2522" s="1558"/>
      <c r="B2522" s="107"/>
      <c r="C2522" s="654"/>
      <c r="D2522" s="256"/>
      <c r="E2522" s="256"/>
      <c r="F2522" s="263"/>
      <c r="G2522" s="236"/>
      <c r="H2522" s="231">
        <f t="shared" si="78"/>
        <v>0</v>
      </c>
      <c r="I2522" s="231">
        <f t="shared" si="79"/>
        <v>0</v>
      </c>
    </row>
    <row r="2523" spans="1:9" s="7" customFormat="1" hidden="1">
      <c r="A2523" s="1558"/>
      <c r="B2523" s="107"/>
      <c r="C2523" s="654"/>
      <c r="D2523" s="256"/>
      <c r="E2523" s="256"/>
      <c r="F2523" s="263"/>
      <c r="G2523" s="236"/>
      <c r="H2523" s="231">
        <f t="shared" si="78"/>
        <v>0</v>
      </c>
      <c r="I2523" s="231">
        <f t="shared" si="79"/>
        <v>0</v>
      </c>
    </row>
    <row r="2524" spans="1:9" s="7" customFormat="1" hidden="1">
      <c r="A2524" s="1558"/>
      <c r="B2524" s="107"/>
      <c r="C2524" s="654"/>
      <c r="D2524" s="256"/>
      <c r="E2524" s="256"/>
      <c r="F2524" s="263"/>
      <c r="G2524" s="236"/>
      <c r="H2524" s="231">
        <f t="shared" si="78"/>
        <v>0</v>
      </c>
      <c r="I2524" s="231">
        <f t="shared" si="79"/>
        <v>0</v>
      </c>
    </row>
    <row r="2525" spans="1:9" s="7" customFormat="1" hidden="1">
      <c r="A2525" s="1558"/>
      <c r="B2525" s="107"/>
      <c r="C2525" s="654"/>
      <c r="D2525" s="256"/>
      <c r="E2525" s="256"/>
      <c r="F2525" s="263"/>
      <c r="G2525" s="236"/>
      <c r="H2525" s="231">
        <f t="shared" si="78"/>
        <v>0</v>
      </c>
      <c r="I2525" s="231">
        <f t="shared" si="79"/>
        <v>0</v>
      </c>
    </row>
    <row r="2526" spans="1:9" s="7" customFormat="1" hidden="1">
      <c r="A2526" s="1558"/>
      <c r="B2526" s="107"/>
      <c r="C2526" s="654"/>
      <c r="D2526" s="256"/>
      <c r="E2526" s="256"/>
      <c r="F2526" s="263"/>
      <c r="G2526" s="236"/>
      <c r="H2526" s="231">
        <f t="shared" si="78"/>
        <v>0</v>
      </c>
      <c r="I2526" s="231">
        <f t="shared" si="79"/>
        <v>0</v>
      </c>
    </row>
    <row r="2527" spans="1:9" s="7" customFormat="1" hidden="1">
      <c r="A2527" s="1558"/>
      <c r="B2527" s="107"/>
      <c r="C2527" s="654"/>
      <c r="D2527" s="256"/>
      <c r="E2527" s="256"/>
      <c r="F2527" s="263"/>
      <c r="G2527" s="236"/>
      <c r="H2527" s="231">
        <f t="shared" si="78"/>
        <v>0</v>
      </c>
      <c r="I2527" s="231">
        <f t="shared" si="79"/>
        <v>0</v>
      </c>
    </row>
    <row r="2528" spans="1:9" s="7" customFormat="1" hidden="1">
      <c r="A2528" s="1558"/>
      <c r="B2528" s="107"/>
      <c r="C2528" s="257"/>
      <c r="D2528" s="256"/>
      <c r="E2528" s="256"/>
      <c r="F2528" s="263"/>
      <c r="G2528" s="236"/>
      <c r="H2528" s="231">
        <f t="shared" si="78"/>
        <v>0</v>
      </c>
      <c r="I2528" s="231">
        <f t="shared" si="79"/>
        <v>0</v>
      </c>
    </row>
    <row r="2529" spans="1:12" s="7" customFormat="1" hidden="1">
      <c r="A2529" s="1558"/>
      <c r="B2529" s="107"/>
      <c r="C2529" s="654"/>
      <c r="D2529" s="654"/>
      <c r="E2529" s="256"/>
      <c r="F2529" s="263"/>
      <c r="G2529" s="236"/>
      <c r="H2529" s="231">
        <f t="shared" si="78"/>
        <v>0</v>
      </c>
      <c r="I2529" s="231">
        <f t="shared" si="79"/>
        <v>0</v>
      </c>
    </row>
    <row r="2530" spans="1:12" s="7" customFormat="1" hidden="1">
      <c r="A2530" s="1558"/>
      <c r="B2530" s="107"/>
      <c r="C2530" s="654"/>
      <c r="D2530" s="654"/>
      <c r="E2530" s="256"/>
      <c r="F2530" s="263"/>
      <c r="G2530" s="236"/>
      <c r="H2530" s="231">
        <f t="shared" si="78"/>
        <v>0</v>
      </c>
      <c r="I2530" s="231">
        <f t="shared" si="79"/>
        <v>0</v>
      </c>
    </row>
    <row r="2531" spans="1:12" s="7" customFormat="1" ht="18" hidden="1" customHeight="1">
      <c r="A2531" s="1554"/>
      <c r="B2531" s="272"/>
      <c r="C2531" s="682"/>
      <c r="D2531" s="682"/>
      <c r="E2531" s="683"/>
      <c r="F2531" s="236"/>
      <c r="G2531" s="236"/>
      <c r="H2531" s="231">
        <f t="shared" si="78"/>
        <v>0</v>
      </c>
      <c r="I2531" s="231">
        <f t="shared" si="79"/>
        <v>0</v>
      </c>
    </row>
    <row r="2532" spans="1:12" s="7" customFormat="1" ht="18" hidden="1" customHeight="1">
      <c r="A2532" s="1554"/>
      <c r="B2532" s="181"/>
      <c r="C2532" s="654"/>
      <c r="D2532" s="654"/>
      <c r="E2532" s="655"/>
      <c r="F2532" s="236"/>
      <c r="G2532" s="236"/>
      <c r="H2532" s="231">
        <f t="shared" si="78"/>
        <v>0</v>
      </c>
      <c r="I2532" s="231">
        <f t="shared" si="79"/>
        <v>0</v>
      </c>
    </row>
    <row r="2533" spans="1:12" s="7" customFormat="1" ht="18" hidden="1" customHeight="1">
      <c r="A2533" s="1554"/>
      <c r="B2533" s="181"/>
      <c r="C2533" s="654"/>
      <c r="D2533" s="654"/>
      <c r="E2533" s="655"/>
      <c r="F2533" s="236"/>
      <c r="G2533" s="236"/>
      <c r="H2533" s="231">
        <f t="shared" si="78"/>
        <v>0</v>
      </c>
      <c r="I2533" s="231">
        <f t="shared" si="79"/>
        <v>0</v>
      </c>
    </row>
    <row r="2534" spans="1:12" s="7" customFormat="1" ht="18" hidden="1" customHeight="1">
      <c r="A2534" s="1554"/>
      <c r="B2534" s="181"/>
      <c r="C2534" s="654"/>
      <c r="D2534" s="654"/>
      <c r="E2534" s="655"/>
      <c r="F2534" s="236"/>
      <c r="G2534" s="236"/>
      <c r="H2534" s="231">
        <f t="shared" si="78"/>
        <v>0</v>
      </c>
      <c r="I2534" s="231">
        <f t="shared" si="79"/>
        <v>0</v>
      </c>
    </row>
    <row r="2535" spans="1:12" s="7" customFormat="1" ht="18" hidden="1" customHeight="1">
      <c r="A2535" s="1554"/>
      <c r="B2535" s="107"/>
      <c r="C2535" s="255"/>
      <c r="D2535" s="255"/>
      <c r="E2535" s="255"/>
      <c r="F2535" s="236"/>
      <c r="G2535" s="236"/>
      <c r="H2535" s="231">
        <f t="shared" si="78"/>
        <v>0</v>
      </c>
      <c r="I2535" s="231">
        <f t="shared" si="79"/>
        <v>0</v>
      </c>
    </row>
    <row r="2536" spans="1:12" s="7" customFormat="1" ht="18" hidden="1" customHeight="1">
      <c r="A2536" s="1554"/>
      <c r="B2536" s="107"/>
      <c r="C2536" s="255"/>
      <c r="D2536" s="255"/>
      <c r="E2536" s="255"/>
      <c r="F2536" s="236"/>
      <c r="G2536" s="236"/>
      <c r="H2536" s="231">
        <f t="shared" si="78"/>
        <v>0</v>
      </c>
      <c r="I2536" s="231">
        <f t="shared" si="79"/>
        <v>0</v>
      </c>
    </row>
    <row r="2537" spans="1:12" s="7" customFormat="1" ht="18" hidden="1" customHeight="1">
      <c r="A2537" s="1554"/>
      <c r="B2537" s="107"/>
      <c r="C2537" s="255"/>
      <c r="D2537" s="255"/>
      <c r="E2537" s="255"/>
      <c r="F2537" s="236"/>
      <c r="G2537" s="236"/>
      <c r="H2537" s="231">
        <f t="shared" si="78"/>
        <v>0</v>
      </c>
      <c r="I2537" s="231">
        <f t="shared" si="79"/>
        <v>0</v>
      </c>
    </row>
    <row r="2538" spans="1:12" s="7" customFormat="1" ht="18" hidden="1" customHeight="1">
      <c r="A2538" s="1554"/>
      <c r="B2538" s="268"/>
      <c r="C2538" s="684"/>
      <c r="D2538" s="684"/>
      <c r="E2538" s="684"/>
      <c r="F2538" s="236"/>
      <c r="G2538" s="236"/>
      <c r="H2538" s="231">
        <f t="shared" si="78"/>
        <v>0</v>
      </c>
      <c r="I2538" s="231">
        <f t="shared" si="79"/>
        <v>0</v>
      </c>
    </row>
    <row r="2539" spans="1:12">
      <c r="A2539" s="1566"/>
      <c r="B2539" s="209" t="s">
        <v>985</v>
      </c>
      <c r="C2539" s="581">
        <f>SUM(C2484:C2538)</f>
        <v>284800</v>
      </c>
      <c r="D2539" s="581">
        <f>SUM(D2484:D2538)</f>
        <v>84800</v>
      </c>
      <c r="E2539" s="581">
        <f>SUM(E2484:E2538)</f>
        <v>200000</v>
      </c>
      <c r="F2539" s="263"/>
      <c r="G2539" s="236"/>
      <c r="H2539" s="1497">
        <f t="shared" si="78"/>
        <v>0</v>
      </c>
      <c r="I2539" s="1497">
        <f t="shared" si="79"/>
        <v>569600</v>
      </c>
      <c r="J2539" s="1440"/>
      <c r="K2539" s="1490"/>
      <c r="L2539" s="1490"/>
    </row>
    <row r="2540" spans="1:12" ht="75">
      <c r="A2540" s="1566" t="s">
        <v>1093</v>
      </c>
      <c r="B2540" s="107" t="s">
        <v>1707</v>
      </c>
      <c r="C2540" s="184">
        <v>25000</v>
      </c>
      <c r="D2540" s="184">
        <v>25000</v>
      </c>
      <c r="E2540" s="184"/>
      <c r="F2540" s="263"/>
      <c r="G2540" s="236"/>
      <c r="H2540" s="1497">
        <f t="shared" si="78"/>
        <v>0</v>
      </c>
      <c r="I2540" s="1497">
        <f t="shared" si="79"/>
        <v>50000</v>
      </c>
      <c r="J2540" s="1440"/>
      <c r="K2540" s="1490"/>
      <c r="L2540" s="1490"/>
    </row>
    <row r="2541" spans="1:12" ht="93.75">
      <c r="A2541" s="1569"/>
      <c r="B2541" s="107" t="s">
        <v>1708</v>
      </c>
      <c r="C2541" s="184">
        <v>30000</v>
      </c>
      <c r="D2541" s="817">
        <v>20000</v>
      </c>
      <c r="E2541" s="184">
        <v>10000</v>
      </c>
      <c r="F2541" s="263"/>
      <c r="G2541" s="236"/>
      <c r="H2541" s="1497">
        <f t="shared" si="78"/>
        <v>0</v>
      </c>
      <c r="I2541" s="1497">
        <f t="shared" si="79"/>
        <v>60000</v>
      </c>
      <c r="J2541" s="1440"/>
      <c r="K2541" s="1490"/>
      <c r="L2541" s="1490"/>
    </row>
    <row r="2542" spans="1:12" ht="37.5">
      <c r="A2542" s="1569"/>
      <c r="B2542" s="107" t="s">
        <v>1709</v>
      </c>
      <c r="C2542" s="184">
        <v>16000</v>
      </c>
      <c r="D2542" s="817">
        <v>16000</v>
      </c>
      <c r="E2542" s="184"/>
      <c r="F2542" s="263"/>
      <c r="G2542" s="236"/>
      <c r="H2542" s="1497">
        <f t="shared" si="78"/>
        <v>0</v>
      </c>
      <c r="I2542" s="1497">
        <f t="shared" si="79"/>
        <v>32000</v>
      </c>
      <c r="J2542" s="1440"/>
      <c r="K2542" s="1490"/>
      <c r="L2542" s="1490"/>
    </row>
    <row r="2543" spans="1:12" hidden="1">
      <c r="A2543" s="1569"/>
      <c r="B2543" s="775"/>
      <c r="C2543" s="776"/>
      <c r="D2543" s="776"/>
      <c r="E2543" s="777"/>
      <c r="F2543" s="263"/>
      <c r="G2543" s="236"/>
      <c r="H2543" s="231">
        <f t="shared" si="78"/>
        <v>0</v>
      </c>
      <c r="I2543" s="231">
        <f t="shared" si="79"/>
        <v>0</v>
      </c>
    </row>
    <row r="2544" spans="1:12" hidden="1">
      <c r="A2544" s="1569"/>
      <c r="B2544" s="371"/>
      <c r="C2544" s="844"/>
      <c r="D2544" s="844"/>
      <c r="E2544" s="844"/>
      <c r="F2544" s="236"/>
      <c r="G2544" s="236"/>
      <c r="H2544" s="231">
        <f t="shared" si="78"/>
        <v>0</v>
      </c>
      <c r="I2544" s="231">
        <f t="shared" si="79"/>
        <v>0</v>
      </c>
    </row>
    <row r="2545" spans="1:12">
      <c r="A2545" s="1566"/>
      <c r="B2545" s="209" t="s">
        <v>985</v>
      </c>
      <c r="C2545" s="729">
        <f>SUM(C2540:C2544)</f>
        <v>71000</v>
      </c>
      <c r="D2545" s="729">
        <f>SUM(D2540:D2544)</f>
        <v>61000</v>
      </c>
      <c r="E2545" s="729">
        <f>SUM(E2540:E2544)</f>
        <v>10000</v>
      </c>
      <c r="F2545" s="263"/>
      <c r="G2545" s="236"/>
      <c r="H2545" s="1497">
        <f t="shared" si="78"/>
        <v>0</v>
      </c>
      <c r="I2545" s="1497">
        <f t="shared" si="79"/>
        <v>142000</v>
      </c>
      <c r="J2545" s="1440"/>
      <c r="K2545" s="1490"/>
      <c r="L2545" s="1490"/>
    </row>
    <row r="2546" spans="1:12" ht="37.5">
      <c r="A2546" s="1569" t="s">
        <v>1094</v>
      </c>
      <c r="B2546" s="425" t="s">
        <v>1710</v>
      </c>
      <c r="C2546" s="817">
        <v>9600</v>
      </c>
      <c r="D2546" s="1226">
        <v>9600</v>
      </c>
      <c r="E2546" s="1226"/>
      <c r="F2546" s="236"/>
      <c r="G2546" s="236"/>
      <c r="H2546" s="1497">
        <f t="shared" si="78"/>
        <v>0</v>
      </c>
      <c r="I2546" s="1497">
        <f t="shared" si="79"/>
        <v>19200</v>
      </c>
      <c r="J2546" s="1440"/>
      <c r="K2546" s="1490"/>
      <c r="L2546" s="1490"/>
    </row>
    <row r="2547" spans="1:12" ht="56.25">
      <c r="A2547" s="1569"/>
      <c r="B2547" s="425" t="s">
        <v>1711</v>
      </c>
      <c r="C2547" s="1226">
        <v>4000</v>
      </c>
      <c r="D2547" s="1226">
        <v>4000</v>
      </c>
      <c r="E2547" s="1227"/>
      <c r="F2547" s="236"/>
      <c r="G2547" s="236"/>
      <c r="H2547" s="1497">
        <f t="shared" si="78"/>
        <v>0</v>
      </c>
      <c r="I2547" s="1497">
        <f t="shared" si="79"/>
        <v>8000</v>
      </c>
      <c r="J2547" s="1440"/>
      <c r="K2547" s="1490"/>
      <c r="L2547" s="1490"/>
    </row>
    <row r="2548" spans="1:12">
      <c r="A2548" s="1659"/>
      <c r="B2548" s="209" t="s">
        <v>985</v>
      </c>
      <c r="C2548" s="729">
        <f>SUM(C2546:C2547)</f>
        <v>13600</v>
      </c>
      <c r="D2548" s="729">
        <f>SUM(D2546:D2547)</f>
        <v>13600</v>
      </c>
      <c r="E2548" s="729">
        <f>SUM(E2546:E2547)</f>
        <v>0</v>
      </c>
      <c r="F2548" s="236"/>
      <c r="G2548" s="236"/>
      <c r="H2548" s="1497">
        <f t="shared" si="78"/>
        <v>0</v>
      </c>
      <c r="I2548" s="1497">
        <f t="shared" si="79"/>
        <v>27200</v>
      </c>
      <c r="J2548" s="1440"/>
      <c r="K2548" s="1490"/>
      <c r="L2548" s="1490"/>
    </row>
    <row r="2549" spans="1:12" hidden="1">
      <c r="A2549" s="1568" t="s">
        <v>253</v>
      </c>
      <c r="B2549" s="253"/>
      <c r="C2549" s="730"/>
      <c r="D2549" s="654"/>
      <c r="E2549" s="680"/>
      <c r="F2549" s="236"/>
      <c r="G2549" s="236"/>
      <c r="H2549" s="231">
        <f t="shared" si="78"/>
        <v>0</v>
      </c>
      <c r="I2549" s="231">
        <f t="shared" si="79"/>
        <v>0</v>
      </c>
    </row>
    <row r="2550" spans="1:12" hidden="1">
      <c r="A2550" s="1569"/>
      <c r="B2550" s="107"/>
      <c r="C2550" s="654"/>
      <c r="D2550" s="654"/>
      <c r="E2550" s="654"/>
      <c r="F2550" s="236"/>
      <c r="G2550" s="236"/>
      <c r="H2550" s="231">
        <f t="shared" si="78"/>
        <v>0</v>
      </c>
      <c r="I2550" s="231">
        <f t="shared" si="79"/>
        <v>0</v>
      </c>
    </row>
    <row r="2551" spans="1:12" hidden="1">
      <c r="A2551" s="1659"/>
      <c r="B2551" s="209" t="s">
        <v>985</v>
      </c>
      <c r="C2551" s="729">
        <f>SUM(C2549:C2550)</f>
        <v>0</v>
      </c>
      <c r="D2551" s="729">
        <f>SUM(D2549:D2550)</f>
        <v>0</v>
      </c>
      <c r="E2551" s="729">
        <f>SUM(E2549:E2550)</f>
        <v>0</v>
      </c>
      <c r="F2551" s="236"/>
      <c r="G2551" s="236"/>
      <c r="H2551" s="231">
        <f t="shared" si="78"/>
        <v>0</v>
      </c>
      <c r="I2551" s="231">
        <f t="shared" si="79"/>
        <v>0</v>
      </c>
    </row>
    <row r="2552" spans="1:12" ht="37.5">
      <c r="A2552" s="1568" t="s">
        <v>1096</v>
      </c>
      <c r="B2552" s="1215" t="s">
        <v>1392</v>
      </c>
      <c r="C2552" s="1214">
        <v>15000</v>
      </c>
      <c r="D2552" s="256">
        <v>15000</v>
      </c>
      <c r="E2552" s="256"/>
      <c r="F2552" s="237"/>
      <c r="G2552" s="237"/>
      <c r="H2552" s="1497">
        <f t="shared" si="78"/>
        <v>0</v>
      </c>
      <c r="I2552" s="1497">
        <f t="shared" si="79"/>
        <v>30000</v>
      </c>
      <c r="J2552" s="1440"/>
      <c r="K2552" s="1490"/>
      <c r="L2552" s="1490"/>
    </row>
    <row r="2553" spans="1:12" s="460" customFormat="1" ht="56.25">
      <c r="A2553" s="1569"/>
      <c r="B2553" s="1215" t="s">
        <v>1393</v>
      </c>
      <c r="C2553" s="1214">
        <v>100000</v>
      </c>
      <c r="D2553" s="256">
        <v>100000</v>
      </c>
      <c r="E2553" s="256"/>
      <c r="F2553" s="459"/>
      <c r="G2553" s="459"/>
      <c r="H2553" s="1497">
        <f t="shared" si="78"/>
        <v>0</v>
      </c>
      <c r="I2553" s="1497">
        <f t="shared" si="79"/>
        <v>200000</v>
      </c>
      <c r="J2553" s="1440"/>
      <c r="K2553" s="1490"/>
      <c r="L2553" s="1490"/>
    </row>
    <row r="2554" spans="1:12" ht="56.25">
      <c r="A2554" s="1569"/>
      <c r="B2554" s="107" t="s">
        <v>1712</v>
      </c>
      <c r="C2554" s="817">
        <v>9086</v>
      </c>
      <c r="D2554" s="817">
        <v>9086</v>
      </c>
      <c r="E2554" s="184"/>
      <c r="F2554" s="232"/>
      <c r="G2554" s="232"/>
      <c r="H2554" s="1497">
        <f t="shared" si="78"/>
        <v>0</v>
      </c>
      <c r="I2554" s="1497">
        <f t="shared" si="79"/>
        <v>18172</v>
      </c>
      <c r="J2554" s="1440"/>
      <c r="K2554" s="1490"/>
      <c r="L2554" s="1490"/>
    </row>
    <row r="2555" spans="1:12" s="458" customFormat="1" ht="56.25">
      <c r="A2555" s="1569"/>
      <c r="B2555" s="107" t="s">
        <v>1713</v>
      </c>
      <c r="C2555" s="817">
        <v>12000</v>
      </c>
      <c r="D2555" s="817">
        <v>12000</v>
      </c>
      <c r="E2555" s="184"/>
      <c r="F2555" s="354"/>
      <c r="G2555" s="354"/>
      <c r="H2555" s="1497">
        <f t="shared" si="78"/>
        <v>0</v>
      </c>
      <c r="I2555" s="1497">
        <f t="shared" si="79"/>
        <v>24000</v>
      </c>
      <c r="J2555" s="1440"/>
      <c r="K2555" s="1490"/>
      <c r="L2555" s="1490"/>
    </row>
    <row r="2556" spans="1:12" s="7" customFormat="1" ht="56.25">
      <c r="A2556" s="1569"/>
      <c r="B2556" s="107" t="s">
        <v>1714</v>
      </c>
      <c r="C2556" s="184">
        <v>12000</v>
      </c>
      <c r="D2556" s="184">
        <v>12000</v>
      </c>
      <c r="E2556" s="184"/>
      <c r="F2556" s="232"/>
      <c r="G2556" s="232"/>
      <c r="H2556" s="1497">
        <f t="shared" si="78"/>
        <v>0</v>
      </c>
      <c r="I2556" s="1497">
        <f t="shared" si="79"/>
        <v>24000</v>
      </c>
      <c r="J2556" s="1435"/>
      <c r="K2556" s="1491"/>
      <c r="L2556" s="1491"/>
    </row>
    <row r="2557" spans="1:12" s="7" customFormat="1" ht="75">
      <c r="A2557" s="1569"/>
      <c r="B2557" s="107" t="s">
        <v>1715</v>
      </c>
      <c r="C2557" s="817">
        <v>10000</v>
      </c>
      <c r="D2557" s="817">
        <v>10000</v>
      </c>
      <c r="E2557" s="184"/>
      <c r="F2557" s="232"/>
      <c r="G2557" s="232"/>
      <c r="H2557" s="1497">
        <f t="shared" si="78"/>
        <v>0</v>
      </c>
      <c r="I2557" s="1497">
        <f t="shared" si="79"/>
        <v>20000</v>
      </c>
      <c r="J2557" s="1435"/>
      <c r="K2557" s="1491"/>
      <c r="L2557" s="1491"/>
    </row>
    <row r="2558" spans="1:12" s="7" customFormat="1" ht="75">
      <c r="A2558" s="1569"/>
      <c r="B2558" s="107" t="s">
        <v>2136</v>
      </c>
      <c r="C2558" s="817">
        <v>100000</v>
      </c>
      <c r="D2558" s="817">
        <v>100000</v>
      </c>
      <c r="E2558" s="184"/>
      <c r="F2558" s="232"/>
      <c r="G2558" s="232"/>
      <c r="H2558" s="1497">
        <f t="shared" si="78"/>
        <v>0</v>
      </c>
      <c r="I2558" s="1497">
        <f t="shared" si="79"/>
        <v>200000</v>
      </c>
      <c r="J2558" s="1435"/>
      <c r="K2558" s="1491"/>
      <c r="L2558" s="1491"/>
    </row>
    <row r="2559" spans="1:12" s="93" customFormat="1" hidden="1">
      <c r="A2559" s="1569"/>
      <c r="B2559" s="107"/>
      <c r="C2559" s="649"/>
      <c r="D2559" s="649"/>
      <c r="E2559" s="256"/>
      <c r="F2559" s="232"/>
      <c r="G2559" s="232"/>
      <c r="H2559" s="231">
        <f t="shared" si="78"/>
        <v>0</v>
      </c>
      <c r="I2559" s="231">
        <f t="shared" si="79"/>
        <v>0</v>
      </c>
    </row>
    <row r="2560" spans="1:12" s="7" customFormat="1" hidden="1">
      <c r="A2560" s="1569"/>
      <c r="B2560" s="425"/>
      <c r="C2560" s="649"/>
      <c r="D2560" s="649"/>
      <c r="E2560" s="256"/>
      <c r="F2560" s="232"/>
      <c r="G2560" s="232"/>
      <c r="H2560" s="231">
        <f t="shared" si="78"/>
        <v>0</v>
      </c>
      <c r="I2560" s="231">
        <f t="shared" si="79"/>
        <v>0</v>
      </c>
    </row>
    <row r="2561" spans="1:9" s="7" customFormat="1" hidden="1">
      <c r="A2561" s="1569"/>
      <c r="B2561" s="425"/>
      <c r="C2561" s="649"/>
      <c r="D2561" s="649"/>
      <c r="E2561" s="256"/>
      <c r="F2561" s="232"/>
      <c r="G2561" s="232"/>
      <c r="H2561" s="231">
        <f t="shared" si="78"/>
        <v>0</v>
      </c>
      <c r="I2561" s="231">
        <f t="shared" si="79"/>
        <v>0</v>
      </c>
    </row>
    <row r="2562" spans="1:9" s="7" customFormat="1" hidden="1">
      <c r="A2562" s="1569"/>
      <c r="B2562" s="107"/>
      <c r="C2562" s="817"/>
      <c r="D2562" s="817"/>
      <c r="E2562" s="184"/>
      <c r="F2562" s="232"/>
      <c r="G2562" s="232"/>
      <c r="H2562" s="231">
        <f t="shared" si="78"/>
        <v>0</v>
      </c>
      <c r="I2562" s="231">
        <f t="shared" si="79"/>
        <v>0</v>
      </c>
    </row>
    <row r="2563" spans="1:9" s="7" customFormat="1" hidden="1">
      <c r="A2563" s="1569"/>
      <c r="B2563" s="107"/>
      <c r="C2563" s="817"/>
      <c r="D2563" s="817"/>
      <c r="E2563" s="184"/>
      <c r="F2563" s="232"/>
      <c r="G2563" s="232"/>
      <c r="H2563" s="231">
        <f t="shared" si="78"/>
        <v>0</v>
      </c>
      <c r="I2563" s="231">
        <f t="shared" si="79"/>
        <v>0</v>
      </c>
    </row>
    <row r="2564" spans="1:9" s="7" customFormat="1" hidden="1">
      <c r="A2564" s="1569"/>
      <c r="B2564" s="107"/>
      <c r="C2564" s="817"/>
      <c r="D2564" s="817"/>
      <c r="E2564" s="184"/>
      <c r="F2564" s="232"/>
      <c r="G2564" s="232"/>
      <c r="H2564" s="231">
        <f t="shared" si="78"/>
        <v>0</v>
      </c>
      <c r="I2564" s="231">
        <f t="shared" si="79"/>
        <v>0</v>
      </c>
    </row>
    <row r="2565" spans="1:9" s="7" customFormat="1" hidden="1">
      <c r="A2565" s="1569"/>
      <c r="B2565" s="371"/>
      <c r="C2565" s="850"/>
      <c r="D2565" s="850"/>
      <c r="E2565" s="844"/>
      <c r="F2565" s="232"/>
      <c r="G2565" s="232"/>
      <c r="H2565" s="231">
        <f t="shared" si="78"/>
        <v>0</v>
      </c>
      <c r="I2565" s="231">
        <f t="shared" si="79"/>
        <v>0</v>
      </c>
    </row>
    <row r="2566" spans="1:9" s="7" customFormat="1" hidden="1">
      <c r="A2566" s="1569"/>
      <c r="B2566" s="371"/>
      <c r="C2566" s="851"/>
      <c r="D2566" s="851"/>
      <c r="E2566" s="852"/>
      <c r="F2566" s="232"/>
      <c r="G2566" s="232"/>
      <c r="H2566" s="231">
        <f t="shared" si="78"/>
        <v>0</v>
      </c>
      <c r="I2566" s="231">
        <f t="shared" si="79"/>
        <v>0</v>
      </c>
    </row>
    <row r="2567" spans="1:9" s="7" customFormat="1" hidden="1">
      <c r="A2567" s="1569"/>
      <c r="B2567" s="371"/>
      <c r="C2567" s="850"/>
      <c r="D2567" s="850"/>
      <c r="E2567" s="844"/>
      <c r="F2567" s="232"/>
      <c r="G2567" s="232"/>
      <c r="H2567" s="231">
        <f t="shared" si="78"/>
        <v>0</v>
      </c>
      <c r="I2567" s="231">
        <f t="shared" si="79"/>
        <v>0</v>
      </c>
    </row>
    <row r="2568" spans="1:9" s="7" customFormat="1" hidden="1">
      <c r="A2568" s="1569"/>
      <c r="B2568" s="821"/>
      <c r="C2568" s="852"/>
      <c r="D2568" s="852"/>
      <c r="E2568" s="852"/>
      <c r="F2568" s="232"/>
      <c r="G2568" s="232"/>
      <c r="H2568" s="231">
        <f t="shared" si="78"/>
        <v>0</v>
      </c>
      <c r="I2568" s="231">
        <f t="shared" si="79"/>
        <v>0</v>
      </c>
    </row>
    <row r="2569" spans="1:9" s="7" customFormat="1" hidden="1">
      <c r="A2569" s="1569"/>
      <c r="B2569" s="821"/>
      <c r="C2569" s="850"/>
      <c r="D2569" s="850"/>
      <c r="E2569" s="850"/>
      <c r="F2569" s="232"/>
      <c r="G2569" s="232"/>
      <c r="H2569" s="231">
        <f t="shared" ref="H2569:H2632" si="80">E2569+D2569-C2569</f>
        <v>0</v>
      </c>
      <c r="I2569" s="231">
        <f t="shared" ref="I2569:I2632" si="81">SUM(C2569:E2569)</f>
        <v>0</v>
      </c>
    </row>
    <row r="2570" spans="1:9" s="7" customFormat="1" hidden="1">
      <c r="A2570" s="1569"/>
      <c r="B2570" s="371"/>
      <c r="C2570" s="844"/>
      <c r="D2570" s="855"/>
      <c r="E2570" s="855"/>
      <c r="F2570" s="232"/>
      <c r="G2570" s="232"/>
      <c r="H2570" s="231">
        <f t="shared" si="80"/>
        <v>0</v>
      </c>
      <c r="I2570" s="231">
        <f t="shared" si="81"/>
        <v>0</v>
      </c>
    </row>
    <row r="2571" spans="1:9" s="7" customFormat="1" hidden="1">
      <c r="A2571" s="1569"/>
      <c r="B2571" s="371"/>
      <c r="C2571" s="844"/>
      <c r="D2571" s="855"/>
      <c r="E2571" s="855"/>
      <c r="F2571" s="232"/>
      <c r="G2571" s="232"/>
      <c r="H2571" s="231">
        <f t="shared" si="80"/>
        <v>0</v>
      </c>
      <c r="I2571" s="231">
        <f t="shared" si="81"/>
        <v>0</v>
      </c>
    </row>
    <row r="2572" spans="1:9" s="7" customFormat="1" hidden="1">
      <c r="A2572" s="1569"/>
      <c r="B2572" s="107"/>
      <c r="C2572" s="654"/>
      <c r="D2572" s="654"/>
      <c r="E2572" s="256"/>
      <c r="F2572" s="232"/>
      <c r="G2572" s="232"/>
      <c r="H2572" s="231">
        <f t="shared" si="80"/>
        <v>0</v>
      </c>
      <c r="I2572" s="231">
        <f t="shared" si="81"/>
        <v>0</v>
      </c>
    </row>
    <row r="2573" spans="1:9" s="7" customFormat="1" hidden="1">
      <c r="A2573" s="1569"/>
      <c r="B2573" s="107"/>
      <c r="C2573" s="654"/>
      <c r="D2573" s="654"/>
      <c r="E2573" s="256"/>
      <c r="F2573" s="232"/>
      <c r="G2573" s="232"/>
      <c r="H2573" s="231">
        <f t="shared" si="80"/>
        <v>0</v>
      </c>
      <c r="I2573" s="231">
        <f t="shared" si="81"/>
        <v>0</v>
      </c>
    </row>
    <row r="2574" spans="1:9" s="7" customFormat="1" hidden="1">
      <c r="A2574" s="1569"/>
      <c r="B2574" s="107"/>
      <c r="C2574" s="654"/>
      <c r="D2574" s="654"/>
      <c r="E2574" s="256"/>
      <c r="F2574" s="232"/>
      <c r="G2574" s="232"/>
      <c r="H2574" s="231">
        <f t="shared" si="80"/>
        <v>0</v>
      </c>
      <c r="I2574" s="231">
        <f t="shared" si="81"/>
        <v>0</v>
      </c>
    </row>
    <row r="2575" spans="1:9" s="7" customFormat="1" hidden="1">
      <c r="A2575" s="1569"/>
      <c r="B2575" s="107"/>
      <c r="C2575" s="654"/>
      <c r="D2575" s="654"/>
      <c r="E2575" s="256"/>
      <c r="F2575" s="232"/>
      <c r="G2575" s="232"/>
      <c r="H2575" s="231">
        <f t="shared" si="80"/>
        <v>0</v>
      </c>
      <c r="I2575" s="231">
        <f t="shared" si="81"/>
        <v>0</v>
      </c>
    </row>
    <row r="2576" spans="1:9" s="7" customFormat="1" hidden="1">
      <c r="A2576" s="1569"/>
      <c r="B2576" s="107"/>
      <c r="C2576" s="654"/>
      <c r="D2576" s="654"/>
      <c r="E2576" s="256"/>
      <c r="F2576" s="232"/>
      <c r="G2576" s="232"/>
      <c r="H2576" s="231">
        <f t="shared" si="80"/>
        <v>0</v>
      </c>
      <c r="I2576" s="231">
        <f t="shared" si="81"/>
        <v>0</v>
      </c>
    </row>
    <row r="2577" spans="1:12" s="7" customFormat="1" hidden="1">
      <c r="A2577" s="1569"/>
      <c r="B2577" s="107"/>
      <c r="C2577" s="654"/>
      <c r="D2577" s="654"/>
      <c r="E2577" s="256"/>
      <c r="F2577" s="232"/>
      <c r="G2577" s="232"/>
      <c r="H2577" s="231">
        <f t="shared" si="80"/>
        <v>0</v>
      </c>
      <c r="I2577" s="231">
        <f t="shared" si="81"/>
        <v>0</v>
      </c>
    </row>
    <row r="2578" spans="1:12" s="7" customFormat="1" hidden="1">
      <c r="A2578" s="1569"/>
      <c r="B2578" s="107"/>
      <c r="C2578" s="654"/>
      <c r="D2578" s="654"/>
      <c r="E2578" s="256"/>
      <c r="F2578" s="232"/>
      <c r="G2578" s="232"/>
      <c r="H2578" s="231">
        <f t="shared" si="80"/>
        <v>0</v>
      </c>
      <c r="I2578" s="231">
        <f t="shared" si="81"/>
        <v>0</v>
      </c>
    </row>
    <row r="2579" spans="1:12" s="7" customFormat="1" hidden="1">
      <c r="A2579" s="1569"/>
      <c r="B2579" s="107"/>
      <c r="C2579" s="654"/>
      <c r="D2579" s="654"/>
      <c r="E2579" s="256"/>
      <c r="F2579" s="232"/>
      <c r="G2579" s="232"/>
      <c r="H2579" s="231">
        <f t="shared" si="80"/>
        <v>0</v>
      </c>
      <c r="I2579" s="231">
        <f t="shared" si="81"/>
        <v>0</v>
      </c>
    </row>
    <row r="2580" spans="1:12" s="7" customFormat="1" hidden="1">
      <c r="A2580" s="1569"/>
      <c r="B2580" s="107"/>
      <c r="C2580" s="654"/>
      <c r="D2580" s="654"/>
      <c r="E2580" s="256"/>
      <c r="F2580" s="232"/>
      <c r="G2580" s="232"/>
      <c r="H2580" s="231">
        <f t="shared" si="80"/>
        <v>0</v>
      </c>
      <c r="I2580" s="231">
        <f t="shared" si="81"/>
        <v>0</v>
      </c>
    </row>
    <row r="2581" spans="1:12" s="7" customFormat="1" hidden="1">
      <c r="A2581" s="1569"/>
      <c r="B2581" s="107"/>
      <c r="C2581" s="654"/>
      <c r="D2581" s="654"/>
      <c r="E2581" s="256"/>
      <c r="F2581" s="232"/>
      <c r="G2581" s="232"/>
      <c r="H2581" s="231">
        <f t="shared" si="80"/>
        <v>0</v>
      </c>
      <c r="I2581" s="231">
        <f t="shared" si="81"/>
        <v>0</v>
      </c>
    </row>
    <row r="2582" spans="1:12" s="7" customFormat="1" hidden="1">
      <c r="A2582" s="1569"/>
      <c r="B2582" s="107"/>
      <c r="C2582" s="654"/>
      <c r="D2582" s="654"/>
      <c r="E2582" s="256"/>
      <c r="F2582" s="232"/>
      <c r="G2582" s="232"/>
      <c r="H2582" s="231">
        <f t="shared" si="80"/>
        <v>0</v>
      </c>
      <c r="I2582" s="231">
        <f t="shared" si="81"/>
        <v>0</v>
      </c>
    </row>
    <row r="2583" spans="1:12" s="7" customFormat="1" hidden="1">
      <c r="A2583" s="1569"/>
      <c r="B2583" s="107"/>
      <c r="C2583" s="654"/>
      <c r="D2583" s="654"/>
      <c r="E2583" s="256"/>
      <c r="F2583" s="232"/>
      <c r="G2583" s="232"/>
      <c r="H2583" s="231">
        <f t="shared" si="80"/>
        <v>0</v>
      </c>
      <c r="I2583" s="231">
        <f t="shared" si="81"/>
        <v>0</v>
      </c>
    </row>
    <row r="2584" spans="1:12" s="7" customFormat="1" hidden="1">
      <c r="A2584" s="1569"/>
      <c r="B2584" s="107"/>
      <c r="C2584" s="654"/>
      <c r="D2584" s="654"/>
      <c r="E2584" s="256"/>
      <c r="F2584" s="232"/>
      <c r="G2584" s="232"/>
      <c r="H2584" s="231">
        <f t="shared" si="80"/>
        <v>0</v>
      </c>
      <c r="I2584" s="231">
        <f t="shared" si="81"/>
        <v>0</v>
      </c>
    </row>
    <row r="2585" spans="1:12" s="7" customFormat="1" hidden="1">
      <c r="A2585" s="1569"/>
      <c r="B2585" s="107"/>
      <c r="C2585" s="654"/>
      <c r="D2585" s="654"/>
      <c r="E2585" s="256"/>
      <c r="F2585" s="232"/>
      <c r="G2585" s="232"/>
      <c r="H2585" s="231">
        <f t="shared" si="80"/>
        <v>0</v>
      </c>
      <c r="I2585" s="231">
        <f t="shared" si="81"/>
        <v>0</v>
      </c>
    </row>
    <row r="2586" spans="1:12">
      <c r="A2586" s="1659"/>
      <c r="B2586" s="209" t="s">
        <v>985</v>
      </c>
      <c r="C2586" s="581">
        <f>SUM(C2552:C2585)</f>
        <v>258086</v>
      </c>
      <c r="D2586" s="581">
        <f>SUM(D2552:D2585)</f>
        <v>258086</v>
      </c>
      <c r="E2586" s="581">
        <f>SUM(E2552:E2585)</f>
        <v>0</v>
      </c>
      <c r="F2586" s="267">
        <f>SUM(F2552:F2585)</f>
        <v>0</v>
      </c>
      <c r="G2586" s="233">
        <f>SUM(G2552:G2585)</f>
        <v>0</v>
      </c>
      <c r="H2586" s="1497">
        <f t="shared" si="80"/>
        <v>0</v>
      </c>
      <c r="I2586" s="1497">
        <f t="shared" si="81"/>
        <v>516172</v>
      </c>
      <c r="J2586" s="1440"/>
      <c r="K2586" s="1490"/>
      <c r="L2586" s="1490"/>
    </row>
    <row r="2587" spans="1:12" ht="112.5">
      <c r="A2587" s="1568" t="s">
        <v>1097</v>
      </c>
      <c r="B2587" s="107" t="s">
        <v>773</v>
      </c>
      <c r="C2587" s="589">
        <v>60000</v>
      </c>
      <c r="D2587" s="589"/>
      <c r="E2587" s="589">
        <v>60000</v>
      </c>
      <c r="F2587" s="267"/>
      <c r="G2587" s="233"/>
      <c r="H2587" s="1497">
        <f t="shared" si="80"/>
        <v>0</v>
      </c>
      <c r="I2587" s="1497">
        <f t="shared" si="81"/>
        <v>120000</v>
      </c>
      <c r="J2587" s="1440"/>
      <c r="K2587" s="1490"/>
      <c r="L2587" s="1490"/>
    </row>
    <row r="2588" spans="1:12" ht="150">
      <c r="A2588" s="1569"/>
      <c r="B2588" s="1240" t="s">
        <v>1394</v>
      </c>
      <c r="C2588" s="1241">
        <v>200000</v>
      </c>
      <c r="D2588" s="580"/>
      <c r="E2588" s="580">
        <v>200000</v>
      </c>
      <c r="F2588" s="267"/>
      <c r="G2588" s="233"/>
      <c r="H2588" s="1497">
        <f t="shared" si="80"/>
        <v>0</v>
      </c>
      <c r="I2588" s="1497">
        <f t="shared" si="81"/>
        <v>400000</v>
      </c>
      <c r="J2588" s="1440"/>
      <c r="K2588" s="1490"/>
      <c r="L2588" s="1490"/>
    </row>
    <row r="2589" spans="1:12" s="337" customFormat="1" ht="37.5">
      <c r="A2589" s="1569"/>
      <c r="B2589" s="425" t="s">
        <v>1716</v>
      </c>
      <c r="C2589" s="817">
        <v>30000</v>
      </c>
      <c r="D2589" s="817"/>
      <c r="E2589" s="184">
        <v>30000</v>
      </c>
      <c r="F2589" s="335"/>
      <c r="G2589" s="336"/>
      <c r="H2589" s="1497">
        <f t="shared" si="80"/>
        <v>0</v>
      </c>
      <c r="I2589" s="1497">
        <f t="shared" si="81"/>
        <v>60000</v>
      </c>
      <c r="J2589" s="1499"/>
      <c r="K2589" s="1493"/>
      <c r="L2589" s="1493"/>
    </row>
    <row r="2590" spans="1:12" ht="75">
      <c r="A2590" s="1569"/>
      <c r="B2590" s="107" t="s">
        <v>1717</v>
      </c>
      <c r="C2590" s="1226">
        <v>30112</v>
      </c>
      <c r="D2590" s="1226"/>
      <c r="E2590" s="1227">
        <v>30112</v>
      </c>
      <c r="F2590" s="267"/>
      <c r="G2590" s="233"/>
      <c r="H2590" s="1497">
        <f t="shared" si="80"/>
        <v>0</v>
      </c>
      <c r="I2590" s="1497">
        <f t="shared" si="81"/>
        <v>60224</v>
      </c>
      <c r="J2590" s="1440"/>
      <c r="K2590" s="1490"/>
      <c r="L2590" s="1490"/>
    </row>
    <row r="2591" spans="1:12" ht="56.25">
      <c r="A2591" s="1569"/>
      <c r="B2591" s="107" t="s">
        <v>1718</v>
      </c>
      <c r="C2591" s="1226">
        <v>65000</v>
      </c>
      <c r="D2591" s="1226">
        <v>39000</v>
      </c>
      <c r="E2591" s="1227">
        <v>26000</v>
      </c>
      <c r="F2591" s="267"/>
      <c r="G2591" s="233"/>
      <c r="H2591" s="1497">
        <f t="shared" si="80"/>
        <v>0</v>
      </c>
      <c r="I2591" s="1497">
        <f t="shared" si="81"/>
        <v>130000</v>
      </c>
      <c r="J2591" s="1440"/>
      <c r="K2591" s="1490"/>
      <c r="L2591" s="1490"/>
    </row>
    <row r="2592" spans="1:12" ht="37.5">
      <c r="A2592" s="1569"/>
      <c r="B2592" s="107" t="s">
        <v>1719</v>
      </c>
      <c r="C2592" s="1226">
        <v>20000</v>
      </c>
      <c r="D2592" s="1226"/>
      <c r="E2592" s="1227">
        <v>20000</v>
      </c>
      <c r="F2592" s="267"/>
      <c r="G2592" s="233"/>
      <c r="H2592" s="1497">
        <f t="shared" si="80"/>
        <v>0</v>
      </c>
      <c r="I2592" s="1497">
        <f t="shared" si="81"/>
        <v>40000</v>
      </c>
      <c r="J2592" s="1440"/>
      <c r="K2592" s="1490"/>
      <c r="L2592" s="1490"/>
    </row>
    <row r="2593" spans="1:12" ht="112.5">
      <c r="A2593" s="1569"/>
      <c r="B2593" s="107" t="s">
        <v>1720</v>
      </c>
      <c r="C2593" s="817">
        <v>60000</v>
      </c>
      <c r="D2593" s="817">
        <v>60000</v>
      </c>
      <c r="E2593" s="817"/>
      <c r="F2593" s="267"/>
      <c r="G2593" s="233"/>
      <c r="H2593" s="1497">
        <f t="shared" si="80"/>
        <v>0</v>
      </c>
      <c r="I2593" s="1497">
        <f t="shared" si="81"/>
        <v>120000</v>
      </c>
      <c r="J2593" s="1440"/>
      <c r="K2593" s="1490"/>
      <c r="L2593" s="1490"/>
    </row>
    <row r="2594" spans="1:12" ht="56.25">
      <c r="A2594" s="1569"/>
      <c r="B2594" s="107" t="s">
        <v>1721</v>
      </c>
      <c r="C2594" s="817">
        <v>17000</v>
      </c>
      <c r="D2594" s="817"/>
      <c r="E2594" s="184">
        <v>17000</v>
      </c>
      <c r="F2594" s="267"/>
      <c r="G2594" s="233"/>
      <c r="H2594" s="1497">
        <f t="shared" si="80"/>
        <v>0</v>
      </c>
      <c r="I2594" s="1497">
        <f t="shared" si="81"/>
        <v>34000</v>
      </c>
      <c r="J2594" s="1440"/>
      <c r="K2594" s="1490"/>
      <c r="L2594" s="1490"/>
    </row>
    <row r="2595" spans="1:12" ht="75">
      <c r="A2595" s="1569"/>
      <c r="B2595" s="107" t="s">
        <v>1079</v>
      </c>
      <c r="C2595" s="510">
        <v>187013</v>
      </c>
      <c r="D2595" s="510"/>
      <c r="E2595" s="510">
        <v>187013</v>
      </c>
      <c r="F2595" s="267"/>
      <c r="G2595" s="233"/>
      <c r="H2595" s="1497">
        <f t="shared" si="80"/>
        <v>0</v>
      </c>
      <c r="I2595" s="1497">
        <f t="shared" si="81"/>
        <v>374026</v>
      </c>
      <c r="J2595" s="1440"/>
      <c r="K2595" s="1490"/>
      <c r="L2595" s="1490"/>
    </row>
    <row r="2596" spans="1:12" hidden="1">
      <c r="A2596" s="1569"/>
      <c r="B2596" s="107"/>
      <c r="C2596" s="589"/>
      <c r="D2596" s="589"/>
      <c r="E2596" s="589"/>
      <c r="F2596" s="267"/>
      <c r="G2596" s="233"/>
      <c r="H2596" s="231">
        <f t="shared" si="80"/>
        <v>0</v>
      </c>
      <c r="I2596" s="231">
        <f t="shared" si="81"/>
        <v>0</v>
      </c>
    </row>
    <row r="2597" spans="1:12" hidden="1">
      <c r="A2597" s="1569"/>
      <c r="B2597" s="107"/>
      <c r="C2597" s="589"/>
      <c r="D2597" s="589"/>
      <c r="E2597" s="589"/>
      <c r="F2597" s="267"/>
      <c r="G2597" s="233"/>
      <c r="H2597" s="231">
        <f t="shared" si="80"/>
        <v>0</v>
      </c>
      <c r="I2597" s="231">
        <f t="shared" si="81"/>
        <v>0</v>
      </c>
    </row>
    <row r="2598" spans="1:12" hidden="1">
      <c r="A2598" s="1569"/>
      <c r="B2598" s="107"/>
      <c r="C2598" s="589"/>
      <c r="D2598" s="589"/>
      <c r="E2598" s="589"/>
      <c r="F2598" s="267"/>
      <c r="G2598" s="233"/>
      <c r="H2598" s="231">
        <f t="shared" si="80"/>
        <v>0</v>
      </c>
      <c r="I2598" s="231">
        <f t="shared" si="81"/>
        <v>0</v>
      </c>
    </row>
    <row r="2599" spans="1:12" hidden="1">
      <c r="A2599" s="1569"/>
      <c r="B2599" s="107"/>
      <c r="C2599" s="589"/>
      <c r="D2599" s="589"/>
      <c r="E2599" s="589"/>
      <c r="F2599" s="267"/>
      <c r="G2599" s="233"/>
      <c r="H2599" s="231">
        <f t="shared" si="80"/>
        <v>0</v>
      </c>
      <c r="I2599" s="231">
        <f t="shared" si="81"/>
        <v>0</v>
      </c>
    </row>
    <row r="2600" spans="1:12" hidden="1">
      <c r="A2600" s="1569"/>
      <c r="B2600" s="107"/>
      <c r="C2600" s="589"/>
      <c r="D2600" s="589"/>
      <c r="E2600" s="510"/>
      <c r="F2600" s="267"/>
      <c r="G2600" s="233"/>
      <c r="H2600" s="231">
        <f t="shared" si="80"/>
        <v>0</v>
      </c>
      <c r="I2600" s="231">
        <f t="shared" si="81"/>
        <v>0</v>
      </c>
    </row>
    <row r="2601" spans="1:12" hidden="1">
      <c r="A2601" s="1569"/>
      <c r="B2601" s="107"/>
      <c r="C2601" s="589"/>
      <c r="D2601" s="589"/>
      <c r="E2601" s="510"/>
      <c r="F2601" s="267"/>
      <c r="G2601" s="233"/>
      <c r="H2601" s="231">
        <f t="shared" si="80"/>
        <v>0</v>
      </c>
      <c r="I2601" s="231">
        <f t="shared" si="81"/>
        <v>0</v>
      </c>
    </row>
    <row r="2602" spans="1:12" hidden="1">
      <c r="A2602" s="1569"/>
      <c r="B2602" s="562"/>
      <c r="C2602" s="604"/>
      <c r="D2602" s="604"/>
      <c r="E2602" s="648"/>
      <c r="F2602" s="267"/>
      <c r="G2602" s="233"/>
      <c r="H2602" s="231">
        <f t="shared" si="80"/>
        <v>0</v>
      </c>
      <c r="I2602" s="231">
        <f t="shared" si="81"/>
        <v>0</v>
      </c>
    </row>
    <row r="2603" spans="1:12" hidden="1">
      <c r="A2603" s="1569"/>
      <c r="B2603" s="617"/>
      <c r="C2603" s="633"/>
      <c r="D2603" s="633"/>
      <c r="E2603" s="633"/>
      <c r="F2603" s="267"/>
      <c r="G2603" s="233"/>
      <c r="H2603" s="231">
        <f t="shared" si="80"/>
        <v>0</v>
      </c>
      <c r="I2603" s="231">
        <f t="shared" si="81"/>
        <v>0</v>
      </c>
    </row>
    <row r="2604" spans="1:12" hidden="1">
      <c r="A2604" s="1569"/>
      <c r="B2604" s="107"/>
      <c r="C2604" s="649"/>
      <c r="D2604" s="649"/>
      <c r="E2604" s="256"/>
      <c r="F2604" s="267"/>
      <c r="G2604" s="233"/>
      <c r="H2604" s="231">
        <f t="shared" si="80"/>
        <v>0</v>
      </c>
      <c r="I2604" s="231">
        <f t="shared" si="81"/>
        <v>0</v>
      </c>
    </row>
    <row r="2605" spans="1:12" hidden="1">
      <c r="A2605" s="1569"/>
      <c r="B2605" s="107"/>
      <c r="C2605" s="649"/>
      <c r="D2605" s="649"/>
      <c r="E2605" s="256"/>
      <c r="F2605" s="267"/>
      <c r="G2605" s="233"/>
      <c r="H2605" s="231">
        <f t="shared" si="80"/>
        <v>0</v>
      </c>
      <c r="I2605" s="231">
        <f t="shared" si="81"/>
        <v>0</v>
      </c>
    </row>
    <row r="2606" spans="1:12" hidden="1">
      <c r="A2606" s="1569"/>
      <c r="B2606" s="107"/>
      <c r="C2606" s="649"/>
      <c r="D2606" s="649"/>
      <c r="E2606" s="256"/>
      <c r="F2606" s="267"/>
      <c r="G2606" s="233"/>
      <c r="H2606" s="231">
        <f t="shared" si="80"/>
        <v>0</v>
      </c>
      <c r="I2606" s="231">
        <f t="shared" si="81"/>
        <v>0</v>
      </c>
    </row>
    <row r="2607" spans="1:12" hidden="1">
      <c r="A2607" s="1569"/>
      <c r="B2607" s="107"/>
      <c r="C2607" s="649"/>
      <c r="D2607" s="649"/>
      <c r="E2607" s="256"/>
      <c r="F2607" s="267"/>
      <c r="G2607" s="233"/>
      <c r="H2607" s="231">
        <f t="shared" si="80"/>
        <v>0</v>
      </c>
      <c r="I2607" s="231">
        <f t="shared" si="81"/>
        <v>0</v>
      </c>
    </row>
    <row r="2608" spans="1:12" hidden="1">
      <c r="A2608" s="1569"/>
      <c r="B2608" s="107"/>
      <c r="C2608" s="649"/>
      <c r="D2608" s="649"/>
      <c r="E2608" s="256"/>
      <c r="F2608" s="267"/>
      <c r="G2608" s="233"/>
      <c r="H2608" s="231">
        <f t="shared" si="80"/>
        <v>0</v>
      </c>
      <c r="I2608" s="231">
        <f t="shared" si="81"/>
        <v>0</v>
      </c>
    </row>
    <row r="2609" spans="1:12" hidden="1">
      <c r="A2609" s="1569"/>
      <c r="B2609" s="857"/>
      <c r="C2609" s="861"/>
      <c r="D2609" s="850"/>
      <c r="E2609" s="844"/>
      <c r="F2609" s="267"/>
      <c r="G2609" s="233"/>
      <c r="H2609" s="231">
        <f t="shared" si="80"/>
        <v>0</v>
      </c>
      <c r="I2609" s="231">
        <f t="shared" si="81"/>
        <v>0</v>
      </c>
    </row>
    <row r="2610" spans="1:12" hidden="1">
      <c r="A2610" s="1569"/>
      <c r="B2610" s="857"/>
      <c r="C2610" s="850"/>
      <c r="D2610" s="850"/>
      <c r="E2610" s="850"/>
      <c r="F2610" s="267"/>
      <c r="G2610" s="233"/>
      <c r="H2610" s="231">
        <f t="shared" si="80"/>
        <v>0</v>
      </c>
      <c r="I2610" s="231">
        <f t="shared" si="81"/>
        <v>0</v>
      </c>
    </row>
    <row r="2611" spans="1:12" hidden="1">
      <c r="A2611" s="1569"/>
      <c r="B2611" s="371"/>
      <c r="C2611" s="850"/>
      <c r="D2611" s="850"/>
      <c r="E2611" s="844"/>
      <c r="F2611" s="267"/>
      <c r="G2611" s="233"/>
      <c r="H2611" s="231">
        <f t="shared" si="80"/>
        <v>0</v>
      </c>
      <c r="I2611" s="231">
        <f t="shared" si="81"/>
        <v>0</v>
      </c>
    </row>
    <row r="2612" spans="1:12" hidden="1">
      <c r="A2612" s="1569"/>
      <c r="B2612" s="371"/>
      <c r="C2612" s="850"/>
      <c r="D2612" s="850"/>
      <c r="E2612" s="844"/>
      <c r="F2612" s="267"/>
      <c r="G2612" s="233"/>
      <c r="H2612" s="231">
        <f t="shared" si="80"/>
        <v>0</v>
      </c>
      <c r="I2612" s="231">
        <f t="shared" si="81"/>
        <v>0</v>
      </c>
    </row>
    <row r="2613" spans="1:12" hidden="1">
      <c r="A2613" s="1569"/>
      <c r="B2613" s="371"/>
      <c r="C2613" s="850"/>
      <c r="D2613" s="850"/>
      <c r="E2613" s="844"/>
      <c r="F2613" s="267"/>
      <c r="G2613" s="233"/>
      <c r="H2613" s="231">
        <f t="shared" si="80"/>
        <v>0</v>
      </c>
      <c r="I2613" s="231">
        <f t="shared" si="81"/>
        <v>0</v>
      </c>
    </row>
    <row r="2614" spans="1:12" hidden="1">
      <c r="A2614" s="1569"/>
      <c r="B2614" s="371"/>
      <c r="C2614" s="850"/>
      <c r="D2614" s="850"/>
      <c r="E2614" s="844"/>
      <c r="F2614" s="267"/>
      <c r="G2614" s="233"/>
      <c r="H2614" s="231">
        <f t="shared" si="80"/>
        <v>0</v>
      </c>
      <c r="I2614" s="231">
        <f t="shared" si="81"/>
        <v>0</v>
      </c>
    </row>
    <row r="2615" spans="1:12" hidden="1">
      <c r="A2615" s="1569"/>
      <c r="B2615" s="371"/>
      <c r="C2615" s="850"/>
      <c r="D2615" s="850"/>
      <c r="E2615" s="844"/>
      <c r="F2615" s="267"/>
      <c r="G2615" s="233"/>
      <c r="H2615" s="231">
        <f t="shared" si="80"/>
        <v>0</v>
      </c>
      <c r="I2615" s="231">
        <f t="shared" si="81"/>
        <v>0</v>
      </c>
    </row>
    <row r="2616" spans="1:12" hidden="1">
      <c r="A2616" s="1569"/>
      <c r="B2616" s="107"/>
      <c r="C2616" s="654"/>
      <c r="D2616" s="654"/>
      <c r="E2616" s="256"/>
      <c r="F2616" s="267"/>
      <c r="G2616" s="233"/>
      <c r="H2616" s="231">
        <f t="shared" si="80"/>
        <v>0</v>
      </c>
      <c r="I2616" s="231">
        <f t="shared" si="81"/>
        <v>0</v>
      </c>
    </row>
    <row r="2617" spans="1:12" hidden="1">
      <c r="A2617" s="1569"/>
      <c r="B2617" s="107"/>
      <c r="C2617" s="654"/>
      <c r="D2617" s="654"/>
      <c r="E2617" s="256"/>
      <c r="F2617" s="267"/>
      <c r="G2617" s="233"/>
      <c r="H2617" s="231">
        <f t="shared" si="80"/>
        <v>0</v>
      </c>
      <c r="I2617" s="231">
        <f t="shared" si="81"/>
        <v>0</v>
      </c>
    </row>
    <row r="2618" spans="1:12" hidden="1">
      <c r="A2618" s="1569"/>
      <c r="B2618" s="107"/>
      <c r="C2618" s="654"/>
      <c r="D2618" s="654"/>
      <c r="E2618" s="256"/>
      <c r="F2618" s="267"/>
      <c r="G2618" s="233"/>
      <c r="H2618" s="231">
        <f t="shared" si="80"/>
        <v>0</v>
      </c>
      <c r="I2618" s="231">
        <f t="shared" si="81"/>
        <v>0</v>
      </c>
    </row>
    <row r="2619" spans="1:12" hidden="1">
      <c r="A2619" s="1569"/>
      <c r="B2619" s="107"/>
      <c r="C2619" s="654"/>
      <c r="D2619" s="654"/>
      <c r="E2619" s="256"/>
      <c r="F2619" s="267"/>
      <c r="G2619" s="233"/>
      <c r="H2619" s="231">
        <f t="shared" si="80"/>
        <v>0</v>
      </c>
      <c r="I2619" s="231">
        <f t="shared" si="81"/>
        <v>0</v>
      </c>
    </row>
    <row r="2620" spans="1:12" hidden="1">
      <c r="A2620" s="1569"/>
      <c r="B2620" s="107"/>
      <c r="C2620" s="654"/>
      <c r="D2620" s="654"/>
      <c r="E2620" s="256"/>
      <c r="F2620" s="267"/>
      <c r="G2620" s="233"/>
      <c r="H2620" s="231">
        <f t="shared" si="80"/>
        <v>0</v>
      </c>
      <c r="I2620" s="231">
        <f t="shared" si="81"/>
        <v>0</v>
      </c>
    </row>
    <row r="2621" spans="1:12">
      <c r="A2621" s="1659"/>
      <c r="B2621" s="209" t="s">
        <v>985</v>
      </c>
      <c r="C2621" s="581">
        <f>SUM(C2587:C2620)</f>
        <v>669125</v>
      </c>
      <c r="D2621" s="581">
        <f>SUM(D2587:D2620)</f>
        <v>99000</v>
      </c>
      <c r="E2621" s="581">
        <f>SUM(E2587:E2620)</f>
        <v>570125</v>
      </c>
      <c r="F2621" s="267"/>
      <c r="G2621" s="233"/>
      <c r="H2621" s="1497">
        <f t="shared" si="80"/>
        <v>0</v>
      </c>
      <c r="I2621" s="1497">
        <f t="shared" si="81"/>
        <v>1338250</v>
      </c>
      <c r="J2621" s="1440"/>
      <c r="K2621" s="1490"/>
      <c r="L2621" s="1490"/>
    </row>
    <row r="2622" spans="1:12" ht="112.5">
      <c r="A2622" s="1568" t="s">
        <v>1098</v>
      </c>
      <c r="B2622" s="107" t="s">
        <v>773</v>
      </c>
      <c r="C2622" s="589">
        <v>225000</v>
      </c>
      <c r="D2622" s="589"/>
      <c r="E2622" s="510">
        <v>225000</v>
      </c>
      <c r="F2622" s="267"/>
      <c r="G2622" s="233"/>
      <c r="H2622" s="1497">
        <f t="shared" si="80"/>
        <v>0</v>
      </c>
      <c r="I2622" s="1497">
        <f t="shared" si="81"/>
        <v>450000</v>
      </c>
      <c r="J2622" s="1440"/>
      <c r="K2622" s="1490"/>
      <c r="L2622" s="1490"/>
    </row>
    <row r="2623" spans="1:12" ht="56.25">
      <c r="A2623" s="1569"/>
      <c r="B2623" s="1215" t="s">
        <v>1395</v>
      </c>
      <c r="C2623" s="1214">
        <v>30000</v>
      </c>
      <c r="D2623" s="256"/>
      <c r="E2623" s="256">
        <v>30000</v>
      </c>
      <c r="F2623" s="267"/>
      <c r="G2623" s="233"/>
      <c r="H2623" s="1497">
        <f t="shared" si="80"/>
        <v>0</v>
      </c>
      <c r="I2623" s="1497">
        <f t="shared" si="81"/>
        <v>60000</v>
      </c>
      <c r="J2623" s="1440"/>
      <c r="K2623" s="1490"/>
      <c r="L2623" s="1490"/>
    </row>
    <row r="2624" spans="1:12" ht="56.25">
      <c r="A2624" s="1569"/>
      <c r="B2624" s="1215" t="s">
        <v>1396</v>
      </c>
      <c r="C2624" s="1214">
        <v>20000</v>
      </c>
      <c r="D2624" s="256"/>
      <c r="E2624" s="256">
        <v>20000</v>
      </c>
      <c r="F2624" s="267"/>
      <c r="G2624" s="233"/>
      <c r="H2624" s="1497">
        <f t="shared" si="80"/>
        <v>0</v>
      </c>
      <c r="I2624" s="1497">
        <f t="shared" si="81"/>
        <v>40000</v>
      </c>
      <c r="J2624" s="1440"/>
      <c r="K2624" s="1490"/>
      <c r="L2624" s="1490"/>
    </row>
    <row r="2625" spans="1:12" ht="56.25">
      <c r="A2625" s="1569"/>
      <c r="B2625" s="1215" t="s">
        <v>1397</v>
      </c>
      <c r="C2625" s="1214">
        <v>10000</v>
      </c>
      <c r="D2625" s="256"/>
      <c r="E2625" s="256">
        <v>10000</v>
      </c>
      <c r="F2625" s="267"/>
      <c r="G2625" s="233"/>
      <c r="H2625" s="1497">
        <f t="shared" si="80"/>
        <v>0</v>
      </c>
      <c r="I2625" s="1497">
        <f t="shared" si="81"/>
        <v>20000</v>
      </c>
      <c r="J2625" s="1440"/>
      <c r="K2625" s="1490"/>
      <c r="L2625" s="1490"/>
    </row>
    <row r="2626" spans="1:12" ht="75">
      <c r="A2626" s="1569"/>
      <c r="B2626" s="107" t="s">
        <v>1722</v>
      </c>
      <c r="C2626" s="817">
        <v>15000</v>
      </c>
      <c r="D2626" s="817"/>
      <c r="E2626" s="184">
        <v>15000</v>
      </c>
      <c r="F2626" s="267"/>
      <c r="G2626" s="233"/>
      <c r="H2626" s="1497">
        <f t="shared" si="80"/>
        <v>0</v>
      </c>
      <c r="I2626" s="1497">
        <f t="shared" si="81"/>
        <v>30000</v>
      </c>
      <c r="J2626" s="1440"/>
      <c r="K2626" s="1490"/>
      <c r="L2626" s="1490"/>
    </row>
    <row r="2627" spans="1:12" ht="56.25">
      <c r="A2627" s="1569"/>
      <c r="B2627" s="107" t="s">
        <v>1723</v>
      </c>
      <c r="C2627" s="817">
        <v>55000</v>
      </c>
      <c r="D2627" s="817"/>
      <c r="E2627" s="184">
        <v>55000</v>
      </c>
      <c r="F2627" s="267"/>
      <c r="G2627" s="233"/>
      <c r="H2627" s="1497">
        <f t="shared" si="80"/>
        <v>0</v>
      </c>
      <c r="I2627" s="1497">
        <f t="shared" si="81"/>
        <v>110000</v>
      </c>
      <c r="J2627" s="1440"/>
      <c r="K2627" s="1490"/>
      <c r="L2627" s="1490"/>
    </row>
    <row r="2628" spans="1:12" ht="75">
      <c r="A2628" s="1569"/>
      <c r="B2628" s="107" t="s">
        <v>1724</v>
      </c>
      <c r="C2628" s="817">
        <v>35000</v>
      </c>
      <c r="D2628" s="817"/>
      <c r="E2628" s="184">
        <v>35000</v>
      </c>
      <c r="F2628" s="267"/>
      <c r="G2628" s="233"/>
      <c r="H2628" s="1497">
        <f t="shared" si="80"/>
        <v>0</v>
      </c>
      <c r="I2628" s="1497">
        <f t="shared" si="81"/>
        <v>70000</v>
      </c>
      <c r="J2628" s="1440"/>
      <c r="K2628" s="1490"/>
      <c r="L2628" s="1490"/>
    </row>
    <row r="2629" spans="1:12" ht="75">
      <c r="A2629" s="1569"/>
      <c r="B2629" s="107" t="s">
        <v>1725</v>
      </c>
      <c r="C2629" s="817">
        <v>32000</v>
      </c>
      <c r="D2629" s="1226"/>
      <c r="E2629" s="1227">
        <v>32000</v>
      </c>
      <c r="F2629" s="267"/>
      <c r="G2629" s="233"/>
      <c r="H2629" s="1497">
        <f t="shared" si="80"/>
        <v>0</v>
      </c>
      <c r="I2629" s="1497">
        <f t="shared" si="81"/>
        <v>64000</v>
      </c>
      <c r="J2629" s="1440"/>
      <c r="K2629" s="1490"/>
      <c r="L2629" s="1490"/>
    </row>
    <row r="2630" spans="1:12" ht="37.5">
      <c r="A2630" s="1569"/>
      <c r="B2630" s="107" t="s">
        <v>1726</v>
      </c>
      <c r="C2630" s="817">
        <v>30000</v>
      </c>
      <c r="D2630" s="1226"/>
      <c r="E2630" s="1227">
        <v>30000</v>
      </c>
      <c r="F2630" s="267"/>
      <c r="G2630" s="233"/>
      <c r="H2630" s="1497">
        <f t="shared" si="80"/>
        <v>0</v>
      </c>
      <c r="I2630" s="1497">
        <f t="shared" si="81"/>
        <v>60000</v>
      </c>
      <c r="J2630" s="1440"/>
      <c r="K2630" s="1490"/>
      <c r="L2630" s="1490"/>
    </row>
    <row r="2631" spans="1:12" ht="56.25">
      <c r="A2631" s="1569"/>
      <c r="B2631" s="107" t="s">
        <v>1727</v>
      </c>
      <c r="C2631" s="817">
        <v>10000</v>
      </c>
      <c r="D2631" s="641"/>
      <c r="E2631" s="1234">
        <v>10000</v>
      </c>
      <c r="F2631" s="267"/>
      <c r="G2631" s="233"/>
      <c r="H2631" s="1497">
        <f t="shared" si="80"/>
        <v>0</v>
      </c>
      <c r="I2631" s="1497">
        <f t="shared" si="81"/>
        <v>20000</v>
      </c>
      <c r="J2631" s="1440"/>
      <c r="K2631" s="1490"/>
      <c r="L2631" s="1490"/>
    </row>
    <row r="2632" spans="1:12" hidden="1">
      <c r="A2632" s="1569"/>
      <c r="B2632" s="562"/>
      <c r="C2632" s="604"/>
      <c r="D2632" s="604"/>
      <c r="E2632" s="648"/>
      <c r="F2632" s="267"/>
      <c r="G2632" s="233"/>
      <c r="H2632" s="231">
        <f t="shared" si="80"/>
        <v>0</v>
      </c>
      <c r="I2632" s="231">
        <f t="shared" si="81"/>
        <v>0</v>
      </c>
    </row>
    <row r="2633" spans="1:12" hidden="1">
      <c r="A2633" s="1569"/>
      <c r="B2633" s="371"/>
      <c r="C2633" s="837"/>
      <c r="D2633" s="836"/>
      <c r="E2633" s="837"/>
      <c r="F2633" s="267"/>
      <c r="G2633" s="233"/>
      <c r="H2633" s="231">
        <f t="shared" ref="H2633:H2696" si="82">E2633+D2633-C2633</f>
        <v>0</v>
      </c>
      <c r="I2633" s="231">
        <f t="shared" ref="I2633:I2696" si="83">SUM(C2633:E2633)</f>
        <v>0</v>
      </c>
    </row>
    <row r="2634" spans="1:12" hidden="1">
      <c r="A2634" s="1569"/>
      <c r="B2634" s="107"/>
      <c r="C2634" s="649"/>
      <c r="D2634" s="649"/>
      <c r="E2634" s="256"/>
      <c r="F2634" s="267"/>
      <c r="G2634" s="233"/>
      <c r="H2634" s="231">
        <f t="shared" si="82"/>
        <v>0</v>
      </c>
      <c r="I2634" s="231">
        <f t="shared" si="83"/>
        <v>0</v>
      </c>
    </row>
    <row r="2635" spans="1:12" hidden="1">
      <c r="A2635" s="1569"/>
      <c r="B2635" s="107"/>
      <c r="C2635" s="649"/>
      <c r="D2635" s="649"/>
      <c r="E2635" s="256"/>
      <c r="F2635" s="267"/>
      <c r="G2635" s="233"/>
      <c r="H2635" s="231">
        <f t="shared" si="82"/>
        <v>0</v>
      </c>
      <c r="I2635" s="231">
        <f t="shared" si="83"/>
        <v>0</v>
      </c>
    </row>
    <row r="2636" spans="1:12" hidden="1">
      <c r="A2636" s="1569"/>
      <c r="B2636" s="107"/>
      <c r="C2636" s="649"/>
      <c r="D2636" s="649"/>
      <c r="E2636" s="256"/>
      <c r="F2636" s="267"/>
      <c r="G2636" s="233"/>
      <c r="H2636" s="231">
        <f t="shared" si="82"/>
        <v>0</v>
      </c>
      <c r="I2636" s="231">
        <f t="shared" si="83"/>
        <v>0</v>
      </c>
    </row>
    <row r="2637" spans="1:12" hidden="1">
      <c r="A2637" s="1569"/>
      <c r="B2637" s="107"/>
      <c r="C2637" s="649"/>
      <c r="D2637" s="649"/>
      <c r="E2637" s="256"/>
      <c r="F2637" s="267"/>
      <c r="G2637" s="233"/>
      <c r="H2637" s="231">
        <f t="shared" si="82"/>
        <v>0</v>
      </c>
      <c r="I2637" s="231">
        <f t="shared" si="83"/>
        <v>0</v>
      </c>
    </row>
    <row r="2638" spans="1:12" hidden="1">
      <c r="A2638" s="1569"/>
      <c r="B2638" s="371"/>
      <c r="C2638" s="831"/>
      <c r="D2638" s="831"/>
      <c r="E2638" s="831"/>
      <c r="F2638" s="267"/>
      <c r="G2638" s="233"/>
      <c r="H2638" s="231">
        <f t="shared" si="82"/>
        <v>0</v>
      </c>
      <c r="I2638" s="231">
        <f t="shared" si="83"/>
        <v>0</v>
      </c>
    </row>
    <row r="2639" spans="1:12" hidden="1">
      <c r="A2639" s="1569"/>
      <c r="B2639" s="821"/>
      <c r="C2639" s="850"/>
      <c r="D2639" s="850"/>
      <c r="E2639" s="844"/>
      <c r="F2639" s="267"/>
      <c r="G2639" s="233"/>
      <c r="H2639" s="231">
        <f t="shared" si="82"/>
        <v>0</v>
      </c>
      <c r="I2639" s="231">
        <f t="shared" si="83"/>
        <v>0</v>
      </c>
    </row>
    <row r="2640" spans="1:12" hidden="1">
      <c r="A2640" s="1569"/>
      <c r="B2640" s="371"/>
      <c r="C2640" s="851"/>
      <c r="D2640" s="851"/>
      <c r="E2640" s="852"/>
      <c r="F2640" s="360"/>
      <c r="G2640"/>
      <c r="H2640" s="231">
        <f t="shared" si="82"/>
        <v>0</v>
      </c>
      <c r="I2640" s="231">
        <f t="shared" si="83"/>
        <v>0</v>
      </c>
    </row>
    <row r="2641" spans="1:9" hidden="1">
      <c r="A2641" s="1569"/>
      <c r="B2641" s="857"/>
      <c r="C2641" s="858"/>
      <c r="D2641" s="850"/>
      <c r="E2641" s="844"/>
      <c r="F2641" s="267"/>
      <c r="G2641" s="233"/>
      <c r="H2641" s="231">
        <f t="shared" si="82"/>
        <v>0</v>
      </c>
      <c r="I2641" s="231">
        <f t="shared" si="83"/>
        <v>0</v>
      </c>
    </row>
    <row r="2642" spans="1:9" hidden="1">
      <c r="A2642" s="1569"/>
      <c r="B2642" s="369"/>
      <c r="C2642" s="661"/>
      <c r="D2642" s="661"/>
      <c r="E2642" s="662"/>
      <c r="F2642" s="267"/>
      <c r="G2642" s="233"/>
      <c r="H2642" s="231">
        <f t="shared" si="82"/>
        <v>0</v>
      </c>
      <c r="I2642" s="231">
        <f t="shared" si="83"/>
        <v>0</v>
      </c>
    </row>
    <row r="2643" spans="1:9" hidden="1">
      <c r="A2643" s="1569"/>
      <c r="B2643" s="369"/>
      <c r="C2643" s="661"/>
      <c r="D2643" s="661"/>
      <c r="E2643" s="662"/>
      <c r="F2643" s="267"/>
      <c r="G2643" s="233"/>
      <c r="H2643" s="231">
        <f t="shared" si="82"/>
        <v>0</v>
      </c>
      <c r="I2643" s="231">
        <f t="shared" si="83"/>
        <v>0</v>
      </c>
    </row>
    <row r="2644" spans="1:9" hidden="1">
      <c r="A2644" s="1569"/>
      <c r="B2644" s="385"/>
      <c r="C2644" s="638"/>
      <c r="D2644" s="638"/>
      <c r="E2644" s="639"/>
      <c r="F2644" s="267"/>
      <c r="G2644" s="233"/>
      <c r="H2644" s="231">
        <f t="shared" si="82"/>
        <v>0</v>
      </c>
      <c r="I2644" s="231">
        <f t="shared" si="83"/>
        <v>0</v>
      </c>
    </row>
    <row r="2645" spans="1:9" hidden="1">
      <c r="A2645" s="1569"/>
      <c r="B2645" s="385"/>
      <c r="C2645" s="638"/>
      <c r="D2645" s="638"/>
      <c r="E2645" s="639"/>
      <c r="F2645" s="267"/>
      <c r="G2645" s="233"/>
      <c r="H2645" s="231">
        <f t="shared" si="82"/>
        <v>0</v>
      </c>
      <c r="I2645" s="231">
        <f t="shared" si="83"/>
        <v>0</v>
      </c>
    </row>
    <row r="2646" spans="1:9" hidden="1">
      <c r="A2646" s="1569"/>
      <c r="B2646" s="385"/>
      <c r="C2646" s="638"/>
      <c r="D2646" s="638"/>
      <c r="E2646" s="639"/>
      <c r="F2646" s="267"/>
      <c r="G2646" s="233"/>
      <c r="H2646" s="231">
        <f t="shared" si="82"/>
        <v>0</v>
      </c>
      <c r="I2646" s="231">
        <f t="shared" si="83"/>
        <v>0</v>
      </c>
    </row>
    <row r="2647" spans="1:9" hidden="1">
      <c r="A2647" s="1569"/>
      <c r="B2647" s="385"/>
      <c r="C2647" s="638"/>
      <c r="D2647" s="638"/>
      <c r="E2647" s="639"/>
      <c r="F2647" s="267"/>
      <c r="G2647" s="233"/>
      <c r="H2647" s="231">
        <f t="shared" si="82"/>
        <v>0</v>
      </c>
      <c r="I2647" s="231">
        <f t="shared" si="83"/>
        <v>0</v>
      </c>
    </row>
    <row r="2648" spans="1:9" hidden="1">
      <c r="A2648" s="1569"/>
      <c r="B2648" s="385"/>
      <c r="C2648" s="638"/>
      <c r="D2648" s="638"/>
      <c r="E2648" s="639"/>
      <c r="F2648" s="267"/>
      <c r="G2648" s="233"/>
      <c r="H2648" s="231">
        <f t="shared" si="82"/>
        <v>0</v>
      </c>
      <c r="I2648" s="231">
        <f t="shared" si="83"/>
        <v>0</v>
      </c>
    </row>
    <row r="2649" spans="1:9" hidden="1">
      <c r="A2649" s="1569"/>
      <c r="B2649" s="385"/>
      <c r="C2649" s="638"/>
      <c r="D2649" s="638"/>
      <c r="E2649" s="639"/>
      <c r="F2649" s="267"/>
      <c r="G2649" s="233"/>
      <c r="H2649" s="231">
        <f t="shared" si="82"/>
        <v>0</v>
      </c>
      <c r="I2649" s="231">
        <f t="shared" si="83"/>
        <v>0</v>
      </c>
    </row>
    <row r="2650" spans="1:9" hidden="1">
      <c r="A2650" s="1569"/>
      <c r="B2650" s="399"/>
      <c r="C2650" s="663"/>
      <c r="D2650" s="663"/>
      <c r="E2650" s="663"/>
      <c r="F2650" s="267"/>
      <c r="G2650" s="233"/>
      <c r="H2650" s="231">
        <f t="shared" si="82"/>
        <v>0</v>
      </c>
      <c r="I2650" s="231">
        <f t="shared" si="83"/>
        <v>0</v>
      </c>
    </row>
    <row r="2651" spans="1:9" hidden="1">
      <c r="A2651" s="1569"/>
      <c r="B2651" s="399"/>
      <c r="C2651" s="663"/>
      <c r="D2651" s="663"/>
      <c r="E2651" s="663"/>
      <c r="F2651" s="267"/>
      <c r="G2651" s="233"/>
      <c r="H2651" s="231">
        <f t="shared" si="82"/>
        <v>0</v>
      </c>
      <c r="I2651" s="231">
        <f t="shared" si="83"/>
        <v>0</v>
      </c>
    </row>
    <row r="2652" spans="1:9" hidden="1">
      <c r="A2652" s="1569"/>
      <c r="B2652" s="107"/>
      <c r="C2652" s="654"/>
      <c r="D2652" s="654"/>
      <c r="E2652" s="256"/>
      <c r="F2652" s="267"/>
      <c r="G2652" s="233"/>
      <c r="H2652" s="231">
        <f t="shared" si="82"/>
        <v>0</v>
      </c>
      <c r="I2652" s="231">
        <f t="shared" si="83"/>
        <v>0</v>
      </c>
    </row>
    <row r="2653" spans="1:9" hidden="1">
      <c r="A2653" s="1569"/>
      <c r="B2653" s="107"/>
      <c r="C2653" s="654"/>
      <c r="D2653" s="654"/>
      <c r="E2653" s="256"/>
      <c r="F2653" s="267"/>
      <c r="G2653" s="233"/>
      <c r="H2653" s="231">
        <f t="shared" si="82"/>
        <v>0</v>
      </c>
      <c r="I2653" s="231">
        <f t="shared" si="83"/>
        <v>0</v>
      </c>
    </row>
    <row r="2654" spans="1:9" hidden="1">
      <c r="A2654" s="1569"/>
      <c r="B2654" s="107"/>
      <c r="C2654" s="654"/>
      <c r="D2654" s="654"/>
      <c r="E2654" s="256"/>
      <c r="F2654" s="267"/>
      <c r="G2654" s="233"/>
      <c r="H2654" s="231">
        <f t="shared" si="82"/>
        <v>0</v>
      </c>
      <c r="I2654" s="231">
        <f t="shared" si="83"/>
        <v>0</v>
      </c>
    </row>
    <row r="2655" spans="1:9" hidden="1">
      <c r="A2655" s="1569"/>
      <c r="B2655" s="107"/>
      <c r="C2655" s="654"/>
      <c r="D2655" s="654"/>
      <c r="E2655" s="256"/>
      <c r="F2655" s="267"/>
      <c r="G2655" s="233"/>
      <c r="H2655" s="231">
        <f t="shared" si="82"/>
        <v>0</v>
      </c>
      <c r="I2655" s="231">
        <f t="shared" si="83"/>
        <v>0</v>
      </c>
    </row>
    <row r="2656" spans="1:9" hidden="1">
      <c r="A2656" s="1569"/>
      <c r="B2656" s="107"/>
      <c r="C2656" s="654"/>
      <c r="D2656" s="654"/>
      <c r="E2656" s="256"/>
      <c r="F2656" s="267"/>
      <c r="G2656" s="233"/>
      <c r="H2656" s="231">
        <f t="shared" si="82"/>
        <v>0</v>
      </c>
      <c r="I2656" s="231">
        <f t="shared" si="83"/>
        <v>0</v>
      </c>
    </row>
    <row r="2657" spans="1:12" hidden="1">
      <c r="A2657" s="1569"/>
      <c r="B2657" s="107"/>
      <c r="C2657" s="654"/>
      <c r="D2657" s="654"/>
      <c r="E2657" s="256"/>
      <c r="F2657" s="267"/>
      <c r="G2657" s="233"/>
      <c r="H2657" s="231">
        <f t="shared" si="82"/>
        <v>0</v>
      </c>
      <c r="I2657" s="231">
        <f t="shared" si="83"/>
        <v>0</v>
      </c>
    </row>
    <row r="2658" spans="1:12" hidden="1">
      <c r="A2658" s="1569"/>
      <c r="B2658" s="107"/>
      <c r="C2658" s="654"/>
      <c r="D2658" s="654"/>
      <c r="E2658" s="256"/>
      <c r="F2658" s="267"/>
      <c r="G2658" s="233"/>
      <c r="H2658" s="231">
        <f t="shared" si="82"/>
        <v>0</v>
      </c>
      <c r="I2658" s="231">
        <f t="shared" si="83"/>
        <v>0</v>
      </c>
    </row>
    <row r="2659" spans="1:12" hidden="1">
      <c r="A2659" s="1569"/>
      <c r="B2659" s="107"/>
      <c r="C2659" s="654"/>
      <c r="D2659" s="654"/>
      <c r="E2659" s="256"/>
      <c r="F2659" s="267"/>
      <c r="G2659" s="233"/>
      <c r="H2659" s="231">
        <f t="shared" si="82"/>
        <v>0</v>
      </c>
      <c r="I2659" s="231">
        <f t="shared" si="83"/>
        <v>0</v>
      </c>
    </row>
    <row r="2660" spans="1:12" hidden="1">
      <c r="A2660" s="1569"/>
      <c r="B2660" s="107"/>
      <c r="C2660" s="654"/>
      <c r="D2660" s="654"/>
      <c r="E2660" s="256"/>
      <c r="F2660" s="267"/>
      <c r="G2660" s="233"/>
      <c r="H2660" s="231">
        <f t="shared" si="82"/>
        <v>0</v>
      </c>
      <c r="I2660" s="231">
        <f t="shared" si="83"/>
        <v>0</v>
      </c>
    </row>
    <row r="2661" spans="1:12" hidden="1">
      <c r="A2661" s="1569"/>
      <c r="B2661" s="107"/>
      <c r="C2661" s="654"/>
      <c r="D2661" s="654"/>
      <c r="E2661" s="256"/>
      <c r="F2661" s="267"/>
      <c r="G2661" s="233"/>
      <c r="H2661" s="231">
        <f t="shared" si="82"/>
        <v>0</v>
      </c>
      <c r="I2661" s="231">
        <f t="shared" si="83"/>
        <v>0</v>
      </c>
    </row>
    <row r="2662" spans="1:12" hidden="1">
      <c r="A2662" s="1569"/>
      <c r="B2662" s="107"/>
      <c r="C2662" s="654"/>
      <c r="D2662" s="654"/>
      <c r="E2662" s="256"/>
      <c r="F2662" s="267"/>
      <c r="G2662" s="233"/>
      <c r="H2662" s="231">
        <f t="shared" si="82"/>
        <v>0</v>
      </c>
      <c r="I2662" s="231">
        <f t="shared" si="83"/>
        <v>0</v>
      </c>
    </row>
    <row r="2663" spans="1:12" hidden="1">
      <c r="A2663" s="1569"/>
      <c r="B2663" s="107"/>
      <c r="C2663" s="654"/>
      <c r="D2663" s="654"/>
      <c r="E2663" s="256"/>
      <c r="F2663" s="267"/>
      <c r="G2663" s="233"/>
      <c r="H2663" s="231">
        <f t="shared" si="82"/>
        <v>0</v>
      </c>
      <c r="I2663" s="231">
        <f t="shared" si="83"/>
        <v>0</v>
      </c>
    </row>
    <row r="2664" spans="1:12" s="349" customFormat="1" hidden="1">
      <c r="A2664" s="1569"/>
      <c r="B2664" s="107"/>
      <c r="C2664" s="654"/>
      <c r="D2664" s="654"/>
      <c r="E2664" s="256"/>
      <c r="F2664" s="348"/>
      <c r="G2664" s="348"/>
      <c r="H2664" s="231">
        <f t="shared" si="82"/>
        <v>0</v>
      </c>
      <c r="I2664" s="231">
        <f t="shared" si="83"/>
        <v>0</v>
      </c>
    </row>
    <row r="2665" spans="1:12" s="350" customFormat="1" hidden="1">
      <c r="A2665" s="1569"/>
      <c r="B2665" s="107"/>
      <c r="C2665" s="654"/>
      <c r="D2665" s="654"/>
      <c r="E2665" s="256"/>
      <c r="F2665" s="348"/>
      <c r="G2665" s="348"/>
      <c r="H2665" s="231">
        <f t="shared" si="82"/>
        <v>0</v>
      </c>
      <c r="I2665" s="231">
        <f t="shared" si="83"/>
        <v>0</v>
      </c>
    </row>
    <row r="2666" spans="1:12" s="350" customFormat="1" hidden="1">
      <c r="A2666" s="1569"/>
      <c r="B2666" s="107"/>
      <c r="C2666" s="654"/>
      <c r="D2666" s="654"/>
      <c r="E2666" s="256"/>
      <c r="F2666" s="348"/>
      <c r="G2666" s="348"/>
      <c r="H2666" s="231">
        <f t="shared" si="82"/>
        <v>0</v>
      </c>
      <c r="I2666" s="231">
        <f t="shared" si="83"/>
        <v>0</v>
      </c>
    </row>
    <row r="2667" spans="1:12" s="350" customFormat="1" hidden="1">
      <c r="A2667" s="1569"/>
      <c r="B2667" s="107"/>
      <c r="C2667" s="654"/>
      <c r="D2667" s="654"/>
      <c r="E2667" s="256"/>
      <c r="F2667" s="348"/>
      <c r="G2667" s="348"/>
      <c r="H2667" s="231">
        <f t="shared" si="82"/>
        <v>0</v>
      </c>
      <c r="I2667" s="231">
        <f t="shared" si="83"/>
        <v>0</v>
      </c>
    </row>
    <row r="2668" spans="1:12" s="350" customFormat="1" hidden="1">
      <c r="A2668" s="1569"/>
      <c r="B2668" s="107"/>
      <c r="C2668" s="654"/>
      <c r="D2668" s="654"/>
      <c r="E2668" s="256"/>
      <c r="F2668" s="348"/>
      <c r="G2668" s="348"/>
      <c r="H2668" s="231">
        <f t="shared" si="82"/>
        <v>0</v>
      </c>
      <c r="I2668" s="231">
        <f t="shared" si="83"/>
        <v>0</v>
      </c>
    </row>
    <row r="2669" spans="1:12" s="350" customFormat="1" hidden="1">
      <c r="A2669" s="1569"/>
      <c r="B2669" s="107"/>
      <c r="C2669" s="654"/>
      <c r="D2669" s="654"/>
      <c r="E2669" s="256"/>
      <c r="F2669" s="348"/>
      <c r="G2669" s="348"/>
      <c r="H2669" s="231">
        <f t="shared" si="82"/>
        <v>0</v>
      </c>
      <c r="I2669" s="231">
        <f t="shared" si="83"/>
        <v>0</v>
      </c>
    </row>
    <row r="2670" spans="1:12" s="350" customFormat="1">
      <c r="A2670" s="1659"/>
      <c r="B2670" s="209" t="s">
        <v>985</v>
      </c>
      <c r="C2670" s="581">
        <f>SUM(C2622:C2669)</f>
        <v>462000</v>
      </c>
      <c r="D2670" s="581">
        <f>SUM(D2622:D2669)</f>
        <v>0</v>
      </c>
      <c r="E2670" s="581">
        <f>SUM(E2622:E2669)</f>
        <v>462000</v>
      </c>
      <c r="F2670" s="348"/>
      <c r="G2670" s="348"/>
      <c r="H2670" s="1497">
        <f t="shared" si="82"/>
        <v>0</v>
      </c>
      <c r="I2670" s="1497">
        <f t="shared" si="83"/>
        <v>924000</v>
      </c>
      <c r="J2670" s="1435"/>
      <c r="K2670" s="1491"/>
      <c r="L2670" s="1491"/>
    </row>
    <row r="2671" spans="1:12" s="350" customFormat="1" ht="112.5">
      <c r="A2671" s="1568" t="s">
        <v>1099</v>
      </c>
      <c r="B2671" s="107" t="s">
        <v>773</v>
      </c>
      <c r="C2671" s="589">
        <v>160000</v>
      </c>
      <c r="D2671" s="589"/>
      <c r="E2671" s="510">
        <v>160000</v>
      </c>
      <c r="F2671" s="348"/>
      <c r="G2671" s="348"/>
      <c r="H2671" s="1497">
        <f t="shared" si="82"/>
        <v>0</v>
      </c>
      <c r="I2671" s="1497">
        <f t="shared" si="83"/>
        <v>320000</v>
      </c>
      <c r="J2671" s="1435"/>
      <c r="K2671" s="1491"/>
      <c r="L2671" s="1491"/>
    </row>
    <row r="2672" spans="1:12" s="350" customFormat="1" ht="75">
      <c r="A2672" s="1569"/>
      <c r="B2672" s="1215" t="s">
        <v>1398</v>
      </c>
      <c r="C2672" s="1214">
        <v>40000</v>
      </c>
      <c r="D2672" s="256"/>
      <c r="E2672" s="256">
        <v>40000</v>
      </c>
      <c r="F2672" s="348"/>
      <c r="G2672" s="348"/>
      <c r="H2672" s="1497">
        <f t="shared" si="82"/>
        <v>0</v>
      </c>
      <c r="I2672" s="1497">
        <f t="shared" si="83"/>
        <v>80000</v>
      </c>
      <c r="J2672" s="1435"/>
      <c r="K2672" s="1491"/>
      <c r="L2672" s="1491"/>
    </row>
    <row r="2673" spans="1:12" s="350" customFormat="1" ht="75">
      <c r="A2673" s="1569"/>
      <c r="B2673" s="1215" t="s">
        <v>1399</v>
      </c>
      <c r="C2673" s="1214">
        <v>40000</v>
      </c>
      <c r="D2673" s="256">
        <v>40000</v>
      </c>
      <c r="E2673" s="256"/>
      <c r="F2673" s="348"/>
      <c r="G2673" s="348"/>
      <c r="H2673" s="1497">
        <f t="shared" si="82"/>
        <v>0</v>
      </c>
      <c r="I2673" s="1497">
        <f t="shared" si="83"/>
        <v>80000</v>
      </c>
      <c r="J2673" s="1435"/>
      <c r="K2673" s="1491"/>
      <c r="L2673" s="1491"/>
    </row>
    <row r="2674" spans="1:12" s="350" customFormat="1" ht="75">
      <c r="A2674" s="1569"/>
      <c r="B2674" s="1215" t="s">
        <v>1400</v>
      </c>
      <c r="C2674" s="1214">
        <v>70000</v>
      </c>
      <c r="D2674" s="256"/>
      <c r="E2674" s="256">
        <v>70000</v>
      </c>
      <c r="F2674" s="348"/>
      <c r="G2674" s="348"/>
      <c r="H2674" s="1497">
        <f t="shared" si="82"/>
        <v>0</v>
      </c>
      <c r="I2674" s="1497">
        <f t="shared" si="83"/>
        <v>140000</v>
      </c>
      <c r="J2674" s="1435"/>
      <c r="K2674" s="1491"/>
      <c r="L2674" s="1491"/>
    </row>
    <row r="2675" spans="1:12" s="350" customFormat="1" ht="56.25">
      <c r="A2675" s="1569"/>
      <c r="B2675" s="1215" t="s">
        <v>1401</v>
      </c>
      <c r="C2675" s="1214">
        <v>10000</v>
      </c>
      <c r="D2675" s="256"/>
      <c r="E2675" s="256">
        <v>10000</v>
      </c>
      <c r="F2675" s="348"/>
      <c r="G2675" s="348"/>
      <c r="H2675" s="1497">
        <f t="shared" si="82"/>
        <v>0</v>
      </c>
      <c r="I2675" s="1497">
        <f t="shared" si="83"/>
        <v>20000</v>
      </c>
      <c r="J2675" s="1435"/>
      <c r="K2675" s="1491"/>
      <c r="L2675" s="1491"/>
    </row>
    <row r="2676" spans="1:12" s="350" customFormat="1" ht="37.5">
      <c r="A2676" s="1569"/>
      <c r="B2676" s="1215" t="s">
        <v>1402</v>
      </c>
      <c r="C2676" s="1214">
        <v>40000</v>
      </c>
      <c r="D2676" s="256"/>
      <c r="E2676" s="256">
        <v>40000</v>
      </c>
      <c r="F2676" s="348"/>
      <c r="G2676" s="348"/>
      <c r="H2676" s="1497">
        <f t="shared" si="82"/>
        <v>0</v>
      </c>
      <c r="I2676" s="1497">
        <f t="shared" si="83"/>
        <v>80000</v>
      </c>
      <c r="J2676" s="1435"/>
      <c r="K2676" s="1491"/>
      <c r="L2676" s="1491"/>
    </row>
    <row r="2677" spans="1:12" s="350" customFormat="1" ht="131.25">
      <c r="A2677" s="1569"/>
      <c r="B2677" s="1225" t="s">
        <v>1455</v>
      </c>
      <c r="C2677" s="1214">
        <f>500000+1000000</f>
        <v>1500000</v>
      </c>
      <c r="D2677" s="256"/>
      <c r="E2677" s="256">
        <v>1500000</v>
      </c>
      <c r="F2677" s="348"/>
      <c r="G2677" s="348"/>
      <c r="H2677" s="1497">
        <f t="shared" si="82"/>
        <v>0</v>
      </c>
      <c r="I2677" s="1497">
        <f t="shared" si="83"/>
        <v>3000000</v>
      </c>
      <c r="J2677" s="1435"/>
      <c r="K2677" s="1491"/>
      <c r="L2677" s="1491"/>
    </row>
    <row r="2678" spans="1:12" s="350" customFormat="1" ht="56.25">
      <c r="A2678" s="1569"/>
      <c r="B2678" s="1216" t="s">
        <v>1403</v>
      </c>
      <c r="C2678" s="1214">
        <v>10000</v>
      </c>
      <c r="D2678" s="256"/>
      <c r="E2678" s="256">
        <v>10000</v>
      </c>
      <c r="F2678" s="348"/>
      <c r="G2678" s="348"/>
      <c r="H2678" s="1497">
        <f t="shared" si="82"/>
        <v>0</v>
      </c>
      <c r="I2678" s="1497">
        <f t="shared" si="83"/>
        <v>20000</v>
      </c>
      <c r="J2678" s="1435"/>
      <c r="K2678" s="1491"/>
      <c r="L2678" s="1491"/>
    </row>
    <row r="2679" spans="1:12" s="350" customFormat="1" ht="56.25">
      <c r="A2679" s="1569"/>
      <c r="B2679" s="1215" t="s">
        <v>1403</v>
      </c>
      <c r="C2679" s="1214">
        <v>150000</v>
      </c>
      <c r="D2679" s="256"/>
      <c r="E2679" s="256">
        <v>150000</v>
      </c>
      <c r="F2679" s="348"/>
      <c r="G2679" s="348"/>
      <c r="H2679" s="1497">
        <f t="shared" si="82"/>
        <v>0</v>
      </c>
      <c r="I2679" s="1497">
        <f t="shared" si="83"/>
        <v>300000</v>
      </c>
      <c r="J2679" s="1435"/>
      <c r="K2679" s="1491"/>
      <c r="L2679" s="1491"/>
    </row>
    <row r="2680" spans="1:12" s="350" customFormat="1" ht="75">
      <c r="A2680" s="1569"/>
      <c r="B2680" s="1215" t="s">
        <v>1398</v>
      </c>
      <c r="C2680" s="1214">
        <v>40000</v>
      </c>
      <c r="D2680" s="256"/>
      <c r="E2680" s="256">
        <v>40000</v>
      </c>
      <c r="F2680" s="348"/>
      <c r="G2680" s="348"/>
      <c r="H2680" s="1497">
        <f t="shared" si="82"/>
        <v>0</v>
      </c>
      <c r="I2680" s="1497">
        <f t="shared" si="83"/>
        <v>80000</v>
      </c>
      <c r="J2680" s="1435"/>
      <c r="K2680" s="1491"/>
      <c r="L2680" s="1491"/>
    </row>
    <row r="2681" spans="1:12" s="350" customFormat="1" ht="93.75">
      <c r="A2681" s="1569"/>
      <c r="B2681" s="425" t="s">
        <v>1728</v>
      </c>
      <c r="C2681" s="817">
        <v>47000</v>
      </c>
      <c r="D2681" s="817"/>
      <c r="E2681" s="184">
        <v>47000</v>
      </c>
      <c r="F2681" s="348"/>
      <c r="G2681" s="348"/>
      <c r="H2681" s="1497">
        <f t="shared" si="82"/>
        <v>0</v>
      </c>
      <c r="I2681" s="1497">
        <f t="shared" si="83"/>
        <v>94000</v>
      </c>
      <c r="J2681" s="1435"/>
      <c r="K2681" s="1491"/>
      <c r="L2681" s="1491"/>
    </row>
    <row r="2682" spans="1:12" s="350" customFormat="1" ht="56.25">
      <c r="A2682" s="1569"/>
      <c r="B2682" s="425" t="s">
        <v>1729</v>
      </c>
      <c r="C2682" s="817">
        <v>4400</v>
      </c>
      <c r="D2682" s="817">
        <v>4400</v>
      </c>
      <c r="E2682" s="184"/>
      <c r="F2682" s="348"/>
      <c r="G2682" s="348"/>
      <c r="H2682" s="1497">
        <f t="shared" si="82"/>
        <v>0</v>
      </c>
      <c r="I2682" s="1497">
        <f t="shared" si="83"/>
        <v>8800</v>
      </c>
      <c r="J2682" s="1435"/>
      <c r="K2682" s="1491"/>
      <c r="L2682" s="1491"/>
    </row>
    <row r="2683" spans="1:12" s="350" customFormat="1" ht="56.25">
      <c r="A2683" s="1569"/>
      <c r="B2683" s="425" t="s">
        <v>1730</v>
      </c>
      <c r="C2683" s="817">
        <v>20000</v>
      </c>
      <c r="D2683" s="817"/>
      <c r="E2683" s="184">
        <v>20000</v>
      </c>
      <c r="F2683" s="348"/>
      <c r="G2683" s="348"/>
      <c r="H2683" s="1497">
        <f t="shared" si="82"/>
        <v>0</v>
      </c>
      <c r="I2683" s="1497">
        <f t="shared" si="83"/>
        <v>40000</v>
      </c>
      <c r="J2683" s="1435"/>
      <c r="K2683" s="1491"/>
      <c r="L2683" s="1491"/>
    </row>
    <row r="2684" spans="1:12" s="350" customFormat="1" ht="37.5">
      <c r="A2684" s="1569"/>
      <c r="B2684" s="425" t="s">
        <v>1731</v>
      </c>
      <c r="C2684" s="1227">
        <v>100000</v>
      </c>
      <c r="D2684" s="1227"/>
      <c r="E2684" s="1227">
        <v>100000</v>
      </c>
      <c r="F2684" s="348"/>
      <c r="G2684" s="348"/>
      <c r="H2684" s="1497">
        <f t="shared" si="82"/>
        <v>0</v>
      </c>
      <c r="I2684" s="1497">
        <f t="shared" si="83"/>
        <v>200000</v>
      </c>
      <c r="J2684" s="1435"/>
      <c r="K2684" s="1491"/>
      <c r="L2684" s="1491"/>
    </row>
    <row r="2685" spans="1:12" s="350" customFormat="1" ht="37.5">
      <c r="A2685" s="1569"/>
      <c r="B2685" s="425" t="s">
        <v>1732</v>
      </c>
      <c r="C2685" s="817">
        <v>47000</v>
      </c>
      <c r="D2685" s="817"/>
      <c r="E2685" s="184">
        <v>47000</v>
      </c>
      <c r="F2685" s="348"/>
      <c r="G2685" s="348"/>
      <c r="H2685" s="1497">
        <f t="shared" si="82"/>
        <v>0</v>
      </c>
      <c r="I2685" s="1497">
        <f t="shared" si="83"/>
        <v>94000</v>
      </c>
      <c r="J2685" s="1435"/>
      <c r="K2685" s="1491"/>
      <c r="L2685" s="1491"/>
    </row>
    <row r="2686" spans="1:12" s="350" customFormat="1" ht="75">
      <c r="A2686" s="1569"/>
      <c r="B2686" s="425" t="s">
        <v>1733</v>
      </c>
      <c r="C2686" s="817">
        <v>60000</v>
      </c>
      <c r="D2686" s="817"/>
      <c r="E2686" s="184">
        <v>60000</v>
      </c>
      <c r="F2686" s="348"/>
      <c r="G2686" s="348"/>
      <c r="H2686" s="1497">
        <f t="shared" si="82"/>
        <v>0</v>
      </c>
      <c r="I2686" s="1497">
        <f t="shared" si="83"/>
        <v>120000</v>
      </c>
      <c r="J2686" s="1435"/>
      <c r="K2686" s="1491"/>
      <c r="L2686" s="1491"/>
    </row>
    <row r="2687" spans="1:12" s="350" customFormat="1" ht="37.5">
      <c r="A2687" s="1569"/>
      <c r="B2687" s="425" t="s">
        <v>1734</v>
      </c>
      <c r="C2687" s="817">
        <v>30000</v>
      </c>
      <c r="D2687" s="817">
        <v>30000</v>
      </c>
      <c r="E2687" s="184"/>
      <c r="F2687" s="354"/>
      <c r="G2687" s="354"/>
      <c r="H2687" s="1497">
        <f t="shared" si="82"/>
        <v>0</v>
      </c>
      <c r="I2687" s="1497">
        <f t="shared" si="83"/>
        <v>60000</v>
      </c>
      <c r="J2687" s="1435"/>
      <c r="K2687" s="1491"/>
      <c r="L2687" s="1491"/>
    </row>
    <row r="2688" spans="1:12" s="376" customFormat="1" ht="37.5">
      <c r="A2688" s="1569"/>
      <c r="B2688" s="425" t="s">
        <v>1735</v>
      </c>
      <c r="C2688" s="817">
        <v>24210</v>
      </c>
      <c r="D2688" s="817">
        <v>24210</v>
      </c>
      <c r="E2688" s="184"/>
      <c r="F2688" s="375"/>
      <c r="G2688" s="375"/>
      <c r="H2688" s="1497">
        <f t="shared" si="82"/>
        <v>0</v>
      </c>
      <c r="I2688" s="1497">
        <f t="shared" si="83"/>
        <v>48420</v>
      </c>
      <c r="J2688" s="1435"/>
      <c r="K2688" s="1491"/>
      <c r="L2688" s="1491"/>
    </row>
    <row r="2689" spans="1:12" s="376" customFormat="1" ht="37.5">
      <c r="A2689" s="1569"/>
      <c r="B2689" s="107" t="s">
        <v>1736</v>
      </c>
      <c r="C2689" s="184">
        <v>9000</v>
      </c>
      <c r="D2689" s="184"/>
      <c r="E2689" s="184">
        <v>9000</v>
      </c>
      <c r="F2689" s="375"/>
      <c r="G2689" s="375"/>
      <c r="H2689" s="1497">
        <f t="shared" si="82"/>
        <v>0</v>
      </c>
      <c r="I2689" s="1497">
        <f t="shared" si="83"/>
        <v>18000</v>
      </c>
      <c r="J2689" s="1435"/>
      <c r="K2689" s="1491"/>
      <c r="L2689" s="1491"/>
    </row>
    <row r="2690" spans="1:12" s="350" customFormat="1" ht="37.5">
      <c r="A2690" s="1569"/>
      <c r="B2690" s="107" t="s">
        <v>1737</v>
      </c>
      <c r="C2690" s="184">
        <v>8000</v>
      </c>
      <c r="D2690" s="184"/>
      <c r="E2690" s="184">
        <v>8000</v>
      </c>
      <c r="F2690" s="348"/>
      <c r="G2690" s="348"/>
      <c r="H2690" s="1497">
        <f t="shared" si="82"/>
        <v>0</v>
      </c>
      <c r="I2690" s="1497">
        <f t="shared" si="83"/>
        <v>16000</v>
      </c>
      <c r="J2690" s="1435"/>
      <c r="K2690" s="1491"/>
      <c r="L2690" s="1491"/>
    </row>
    <row r="2691" spans="1:12" s="350" customFormat="1" ht="75">
      <c r="A2691" s="1569"/>
      <c r="B2691" s="107" t="s">
        <v>1738</v>
      </c>
      <c r="C2691" s="184">
        <v>33000</v>
      </c>
      <c r="D2691" s="184"/>
      <c r="E2691" s="184">
        <v>33000</v>
      </c>
      <c r="F2691" s="348"/>
      <c r="G2691" s="348"/>
      <c r="H2691" s="1497">
        <f t="shared" si="82"/>
        <v>0</v>
      </c>
      <c r="I2691" s="1497">
        <f t="shared" si="83"/>
        <v>66000</v>
      </c>
      <c r="J2691" s="1435"/>
      <c r="K2691" s="1491"/>
      <c r="L2691" s="1491"/>
    </row>
    <row r="2692" spans="1:12" s="350" customFormat="1" ht="93.75">
      <c r="A2692" s="1569"/>
      <c r="B2692" s="107" t="s">
        <v>1739</v>
      </c>
      <c r="C2692" s="184">
        <v>10000</v>
      </c>
      <c r="D2692" s="184">
        <v>10000</v>
      </c>
      <c r="E2692" s="184"/>
      <c r="F2692" s="348"/>
      <c r="G2692" s="348"/>
      <c r="H2692" s="1497">
        <f t="shared" si="82"/>
        <v>0</v>
      </c>
      <c r="I2692" s="1497">
        <f t="shared" si="83"/>
        <v>20000</v>
      </c>
      <c r="J2692" s="1435"/>
      <c r="K2692" s="1491"/>
      <c r="L2692" s="1491"/>
    </row>
    <row r="2693" spans="1:12" s="350" customFormat="1" ht="56.25">
      <c r="A2693" s="1569"/>
      <c r="B2693" s="107" t="s">
        <v>1740</v>
      </c>
      <c r="C2693" s="184">
        <v>10000</v>
      </c>
      <c r="D2693" s="184">
        <v>10000</v>
      </c>
      <c r="E2693" s="184"/>
      <c r="F2693" s="348"/>
      <c r="G2693" s="348"/>
      <c r="H2693" s="1497">
        <f t="shared" si="82"/>
        <v>0</v>
      </c>
      <c r="I2693" s="1497">
        <f t="shared" si="83"/>
        <v>20000</v>
      </c>
      <c r="J2693" s="1435"/>
      <c r="K2693" s="1491"/>
      <c r="L2693" s="1491"/>
    </row>
    <row r="2694" spans="1:12" s="350" customFormat="1" ht="56.25">
      <c r="A2694" s="1569"/>
      <c r="B2694" s="107" t="s">
        <v>1741</v>
      </c>
      <c r="C2694" s="817">
        <v>7341</v>
      </c>
      <c r="D2694" s="817">
        <v>7341</v>
      </c>
      <c r="E2694" s="184"/>
      <c r="F2694" s="348"/>
      <c r="G2694" s="348"/>
      <c r="H2694" s="1497">
        <f t="shared" si="82"/>
        <v>0</v>
      </c>
      <c r="I2694" s="1497">
        <f t="shared" si="83"/>
        <v>14682</v>
      </c>
      <c r="J2694" s="1435"/>
      <c r="K2694" s="1491"/>
      <c r="L2694" s="1491"/>
    </row>
    <row r="2695" spans="1:12" s="350" customFormat="1" ht="56.25">
      <c r="A2695" s="1569"/>
      <c r="B2695" s="107" t="s">
        <v>1742</v>
      </c>
      <c r="C2695" s="817">
        <v>3700</v>
      </c>
      <c r="D2695" s="817">
        <v>3700</v>
      </c>
      <c r="E2695" s="184"/>
      <c r="F2695" s="348"/>
      <c r="G2695" s="348"/>
      <c r="H2695" s="1497">
        <f t="shared" si="82"/>
        <v>0</v>
      </c>
      <c r="I2695" s="1497">
        <f t="shared" si="83"/>
        <v>7400</v>
      </c>
      <c r="J2695" s="1435"/>
      <c r="K2695" s="1491"/>
      <c r="L2695" s="1491"/>
    </row>
    <row r="2696" spans="1:12" s="350" customFormat="1" ht="37.5">
      <c r="A2696" s="1569"/>
      <c r="B2696" s="107" t="s">
        <v>1743</v>
      </c>
      <c r="C2696" s="817">
        <v>16000</v>
      </c>
      <c r="D2696" s="817"/>
      <c r="E2696" s="184">
        <v>16000</v>
      </c>
      <c r="F2696" s="348"/>
      <c r="G2696" s="348"/>
      <c r="H2696" s="1497">
        <f t="shared" si="82"/>
        <v>0</v>
      </c>
      <c r="I2696" s="1497">
        <f t="shared" si="83"/>
        <v>32000</v>
      </c>
      <c r="J2696" s="1435"/>
      <c r="K2696" s="1491"/>
      <c r="L2696" s="1491"/>
    </row>
    <row r="2697" spans="1:12" s="350" customFormat="1" ht="37.5">
      <c r="A2697" s="1569"/>
      <c r="B2697" s="107" t="s">
        <v>1744</v>
      </c>
      <c r="C2697" s="817">
        <v>6000</v>
      </c>
      <c r="D2697" s="817"/>
      <c r="E2697" s="184">
        <v>6000</v>
      </c>
      <c r="F2697" s="348"/>
      <c r="G2697" s="348"/>
      <c r="H2697" s="1497">
        <f t="shared" ref="H2697:H2760" si="84">E2697+D2697-C2697</f>
        <v>0</v>
      </c>
      <c r="I2697" s="1497">
        <f t="shared" ref="I2697:I2760" si="85">SUM(C2697:E2697)</f>
        <v>12000</v>
      </c>
      <c r="J2697" s="1435"/>
      <c r="K2697" s="1491"/>
      <c r="L2697" s="1491"/>
    </row>
    <row r="2698" spans="1:12" s="350" customFormat="1" ht="37.5">
      <c r="A2698" s="1569"/>
      <c r="B2698" s="107" t="s">
        <v>1745</v>
      </c>
      <c r="C2698" s="817">
        <v>6000</v>
      </c>
      <c r="D2698" s="817"/>
      <c r="E2698" s="184">
        <v>6000</v>
      </c>
      <c r="F2698" s="348"/>
      <c r="G2698" s="348"/>
      <c r="H2698" s="1497">
        <f t="shared" si="84"/>
        <v>0</v>
      </c>
      <c r="I2698" s="1497">
        <f t="shared" si="85"/>
        <v>12000</v>
      </c>
      <c r="J2698" s="1435"/>
      <c r="K2698" s="1491"/>
      <c r="L2698" s="1491"/>
    </row>
    <row r="2699" spans="1:12" s="350" customFormat="1" ht="93.75">
      <c r="A2699" s="1569"/>
      <c r="B2699" s="107" t="s">
        <v>1746</v>
      </c>
      <c r="C2699" s="817">
        <v>7000</v>
      </c>
      <c r="D2699" s="817">
        <v>7000</v>
      </c>
      <c r="E2699" s="184"/>
      <c r="F2699" s="348"/>
      <c r="G2699" s="348"/>
      <c r="H2699" s="1497">
        <f t="shared" si="84"/>
        <v>0</v>
      </c>
      <c r="I2699" s="1497">
        <f t="shared" si="85"/>
        <v>14000</v>
      </c>
      <c r="J2699" s="1435"/>
      <c r="K2699" s="1491"/>
      <c r="L2699" s="1491"/>
    </row>
    <row r="2700" spans="1:12" s="350" customFormat="1" ht="56.25">
      <c r="A2700" s="1569"/>
      <c r="B2700" s="107" t="s">
        <v>1747</v>
      </c>
      <c r="C2700" s="817">
        <v>3471</v>
      </c>
      <c r="D2700" s="817">
        <v>3471</v>
      </c>
      <c r="E2700" s="184"/>
      <c r="F2700" s="372"/>
      <c r="G2700" s="348"/>
      <c r="H2700" s="1497">
        <f t="shared" si="84"/>
        <v>0</v>
      </c>
      <c r="I2700" s="1497">
        <f t="shared" si="85"/>
        <v>6942</v>
      </c>
      <c r="J2700" s="1435"/>
      <c r="K2700" s="1491"/>
      <c r="L2700" s="1491"/>
    </row>
    <row r="2701" spans="1:12" ht="56.25">
      <c r="A2701" s="1569"/>
      <c r="B2701" s="107" t="s">
        <v>1748</v>
      </c>
      <c r="C2701" s="817">
        <v>10000</v>
      </c>
      <c r="D2701" s="817">
        <v>10000</v>
      </c>
      <c r="E2701" s="184"/>
      <c r="F2701" s="372"/>
      <c r="G2701" s="233"/>
      <c r="H2701" s="1497">
        <f t="shared" si="84"/>
        <v>0</v>
      </c>
      <c r="I2701" s="1497">
        <f t="shared" si="85"/>
        <v>20000</v>
      </c>
      <c r="J2701" s="1440"/>
      <c r="K2701" s="1490"/>
      <c r="L2701" s="1490"/>
    </row>
    <row r="2702" spans="1:12" ht="56.25">
      <c r="A2702" s="1569"/>
      <c r="B2702" s="107" t="s">
        <v>1749</v>
      </c>
      <c r="C2702" s="817">
        <v>16000</v>
      </c>
      <c r="D2702" s="817"/>
      <c r="E2702" s="184">
        <v>16000</v>
      </c>
      <c r="F2702" s="383"/>
      <c r="G2702" s="233"/>
      <c r="H2702" s="1497">
        <f t="shared" si="84"/>
        <v>0</v>
      </c>
      <c r="I2702" s="1497">
        <f t="shared" si="85"/>
        <v>32000</v>
      </c>
      <c r="J2702" s="1440"/>
      <c r="K2702" s="1490"/>
      <c r="L2702" s="1490"/>
    </row>
    <row r="2703" spans="1:12" ht="56.25">
      <c r="A2703" s="1569"/>
      <c r="B2703" s="107" t="s">
        <v>1750</v>
      </c>
      <c r="C2703" s="817">
        <v>13000</v>
      </c>
      <c r="D2703" s="817">
        <v>5000</v>
      </c>
      <c r="E2703" s="184">
        <v>8000</v>
      </c>
      <c r="F2703" s="383"/>
      <c r="G2703" s="233"/>
      <c r="H2703" s="1497">
        <f t="shared" si="84"/>
        <v>0</v>
      </c>
      <c r="I2703" s="1497">
        <f t="shared" si="85"/>
        <v>26000</v>
      </c>
      <c r="J2703" s="1440"/>
      <c r="K2703" s="1490"/>
      <c r="L2703" s="1490"/>
    </row>
    <row r="2704" spans="1:12" ht="75">
      <c r="A2704" s="1569"/>
      <c r="B2704" s="107" t="s">
        <v>1751</v>
      </c>
      <c r="C2704" s="817">
        <v>12000</v>
      </c>
      <c r="D2704" s="817"/>
      <c r="E2704" s="184">
        <v>12000</v>
      </c>
      <c r="F2704" s="383"/>
      <c r="G2704" s="233"/>
      <c r="H2704" s="1497">
        <f t="shared" si="84"/>
        <v>0</v>
      </c>
      <c r="I2704" s="1497">
        <f t="shared" si="85"/>
        <v>24000</v>
      </c>
      <c r="J2704" s="1440"/>
      <c r="K2704" s="1490"/>
      <c r="L2704" s="1490"/>
    </row>
    <row r="2705" spans="1:12" ht="56.25">
      <c r="A2705" s="1569"/>
      <c r="B2705" s="107" t="s">
        <v>1752</v>
      </c>
      <c r="C2705" s="817">
        <v>5000</v>
      </c>
      <c r="D2705" s="817">
        <v>5000</v>
      </c>
      <c r="E2705" s="184"/>
      <c r="F2705" s="383"/>
      <c r="G2705" s="233"/>
      <c r="H2705" s="1497">
        <f t="shared" si="84"/>
        <v>0</v>
      </c>
      <c r="I2705" s="1497">
        <f t="shared" si="85"/>
        <v>10000</v>
      </c>
      <c r="J2705" s="1440"/>
      <c r="K2705" s="1490"/>
      <c r="L2705" s="1490"/>
    </row>
    <row r="2706" spans="1:12" ht="75">
      <c r="A2706" s="1569"/>
      <c r="B2706" s="107" t="s">
        <v>1753</v>
      </c>
      <c r="C2706" s="184">
        <v>10000</v>
      </c>
      <c r="D2706" s="184">
        <v>10000</v>
      </c>
      <c r="E2706" s="184"/>
      <c r="F2706" s="383"/>
      <c r="G2706" s="233"/>
      <c r="H2706" s="1497">
        <f t="shared" si="84"/>
        <v>0</v>
      </c>
      <c r="I2706" s="1497">
        <f t="shared" si="85"/>
        <v>20000</v>
      </c>
      <c r="J2706" s="1440"/>
      <c r="K2706" s="1490"/>
      <c r="L2706" s="1490"/>
    </row>
    <row r="2707" spans="1:12" ht="56.25">
      <c r="A2707" s="1569"/>
      <c r="B2707" s="107" t="s">
        <v>1754</v>
      </c>
      <c r="C2707" s="817">
        <v>6000</v>
      </c>
      <c r="D2707" s="817"/>
      <c r="E2707" s="184">
        <v>6000</v>
      </c>
      <c r="F2707" s="383"/>
      <c r="G2707" s="233"/>
      <c r="H2707" s="1497">
        <f t="shared" si="84"/>
        <v>0</v>
      </c>
      <c r="I2707" s="1497">
        <f t="shared" si="85"/>
        <v>12000</v>
      </c>
      <c r="J2707" s="1440"/>
      <c r="K2707" s="1490"/>
      <c r="L2707" s="1490"/>
    </row>
    <row r="2708" spans="1:12" ht="37.5">
      <c r="A2708" s="1569"/>
      <c r="B2708" s="107" t="s">
        <v>1755</v>
      </c>
      <c r="C2708" s="817">
        <v>10000</v>
      </c>
      <c r="D2708" s="817">
        <v>10000</v>
      </c>
      <c r="E2708" s="184"/>
      <c r="F2708" s="383"/>
      <c r="G2708" s="233"/>
      <c r="H2708" s="1497">
        <f t="shared" si="84"/>
        <v>0</v>
      </c>
      <c r="I2708" s="1497">
        <f t="shared" si="85"/>
        <v>20000</v>
      </c>
      <c r="J2708" s="1440"/>
      <c r="K2708" s="1490"/>
      <c r="L2708" s="1490"/>
    </row>
    <row r="2709" spans="1:12" ht="37.5">
      <c r="A2709" s="1569"/>
      <c r="B2709" s="107" t="s">
        <v>1756</v>
      </c>
      <c r="C2709" s="817">
        <v>20000</v>
      </c>
      <c r="D2709" s="817">
        <v>20000</v>
      </c>
      <c r="E2709" s="184"/>
      <c r="F2709" s="383"/>
      <c r="G2709" s="233"/>
      <c r="H2709" s="1497">
        <f t="shared" si="84"/>
        <v>0</v>
      </c>
      <c r="I2709" s="1497">
        <f t="shared" si="85"/>
        <v>40000</v>
      </c>
      <c r="J2709" s="1440"/>
      <c r="K2709" s="1490"/>
      <c r="L2709" s="1490"/>
    </row>
    <row r="2710" spans="1:12" ht="75">
      <c r="A2710" s="1569"/>
      <c r="B2710" s="107" t="s">
        <v>1757</v>
      </c>
      <c r="C2710" s="817">
        <v>30600</v>
      </c>
      <c r="D2710" s="817">
        <v>30600</v>
      </c>
      <c r="E2710" s="184"/>
      <c r="F2710" s="383"/>
      <c r="G2710" s="233"/>
      <c r="H2710" s="1497">
        <f t="shared" si="84"/>
        <v>0</v>
      </c>
      <c r="I2710" s="1497">
        <f t="shared" si="85"/>
        <v>61200</v>
      </c>
      <c r="J2710" s="1440"/>
      <c r="K2710" s="1490"/>
      <c r="L2710" s="1490"/>
    </row>
    <row r="2711" spans="1:12" ht="56.25">
      <c r="A2711" s="1569"/>
      <c r="B2711" s="107" t="s">
        <v>1758</v>
      </c>
      <c r="C2711" s="817">
        <v>5000</v>
      </c>
      <c r="D2711" s="817">
        <v>5000</v>
      </c>
      <c r="E2711" s="184"/>
      <c r="F2711" s="383"/>
      <c r="G2711" s="233"/>
      <c r="H2711" s="1497">
        <f t="shared" si="84"/>
        <v>0</v>
      </c>
      <c r="I2711" s="1497">
        <f t="shared" si="85"/>
        <v>10000</v>
      </c>
      <c r="J2711" s="1440"/>
      <c r="K2711" s="1490"/>
      <c r="L2711" s="1490"/>
    </row>
    <row r="2712" spans="1:12" ht="37.5">
      <c r="A2712" s="1569"/>
      <c r="B2712" s="821" t="s">
        <v>2127</v>
      </c>
      <c r="C2712" s="649">
        <v>100000</v>
      </c>
      <c r="D2712" s="649">
        <v>65000</v>
      </c>
      <c r="E2712" s="256">
        <v>35000</v>
      </c>
      <c r="F2712" s="383"/>
      <c r="G2712" s="233"/>
      <c r="H2712" s="1497">
        <f t="shared" si="84"/>
        <v>0</v>
      </c>
      <c r="I2712" s="1497">
        <f t="shared" si="85"/>
        <v>200000</v>
      </c>
      <c r="J2712" s="1440"/>
      <c r="K2712" s="1490"/>
      <c r="L2712" s="1490"/>
    </row>
    <row r="2713" spans="1:12" hidden="1">
      <c r="A2713" s="1569"/>
      <c r="B2713" s="107"/>
      <c r="C2713" s="589"/>
      <c r="D2713" s="589"/>
      <c r="E2713" s="510"/>
      <c r="F2713" s="383"/>
      <c r="G2713" s="233"/>
      <c r="H2713" s="231">
        <f t="shared" si="84"/>
        <v>0</v>
      </c>
      <c r="I2713" s="231">
        <f t="shared" si="85"/>
        <v>0</v>
      </c>
    </row>
    <row r="2714" spans="1:12" hidden="1">
      <c r="A2714" s="1569"/>
      <c r="B2714" s="107"/>
      <c r="C2714" s="589"/>
      <c r="D2714" s="589"/>
      <c r="E2714" s="510"/>
      <c r="F2714" s="383"/>
      <c r="G2714" s="233"/>
      <c r="H2714" s="231">
        <f t="shared" si="84"/>
        <v>0</v>
      </c>
      <c r="I2714" s="231">
        <f t="shared" si="85"/>
        <v>0</v>
      </c>
    </row>
    <row r="2715" spans="1:12" hidden="1">
      <c r="A2715" s="1569"/>
      <c r="B2715" s="107"/>
      <c r="C2715" s="589"/>
      <c r="D2715" s="589"/>
      <c r="E2715" s="510"/>
      <c r="F2715" s="383"/>
      <c r="G2715" s="233"/>
      <c r="H2715" s="231">
        <f t="shared" si="84"/>
        <v>0</v>
      </c>
      <c r="I2715" s="231">
        <f t="shared" si="85"/>
        <v>0</v>
      </c>
    </row>
    <row r="2716" spans="1:12" hidden="1">
      <c r="A2716" s="1569"/>
      <c r="B2716" s="107"/>
      <c r="C2716" s="589"/>
      <c r="D2716" s="589"/>
      <c r="E2716" s="510"/>
      <c r="F2716" s="383"/>
      <c r="G2716" s="233"/>
      <c r="H2716" s="231">
        <f t="shared" si="84"/>
        <v>0</v>
      </c>
      <c r="I2716" s="231">
        <f t="shared" si="85"/>
        <v>0</v>
      </c>
    </row>
    <row r="2717" spans="1:12" hidden="1">
      <c r="A2717" s="1569"/>
      <c r="B2717" s="107"/>
      <c r="C2717" s="589"/>
      <c r="D2717" s="589"/>
      <c r="E2717" s="510"/>
      <c r="F2717" s="383"/>
      <c r="G2717" s="233"/>
      <c r="H2717" s="231">
        <f t="shared" si="84"/>
        <v>0</v>
      </c>
      <c r="I2717" s="231">
        <f t="shared" si="85"/>
        <v>0</v>
      </c>
    </row>
    <row r="2718" spans="1:12" hidden="1">
      <c r="A2718" s="1569"/>
      <c r="B2718" s="107"/>
      <c r="C2718" s="589"/>
      <c r="D2718" s="589"/>
      <c r="E2718" s="510"/>
      <c r="F2718" s="383"/>
      <c r="G2718" s="233"/>
      <c r="H2718" s="231">
        <f t="shared" si="84"/>
        <v>0</v>
      </c>
      <c r="I2718" s="231">
        <f t="shared" si="85"/>
        <v>0</v>
      </c>
    </row>
    <row r="2719" spans="1:12" hidden="1">
      <c r="A2719" s="1569"/>
      <c r="B2719" s="564"/>
      <c r="C2719" s="733"/>
      <c r="D2719" s="733"/>
      <c r="E2719" s="733"/>
      <c r="F2719" s="383"/>
      <c r="G2719" s="233"/>
      <c r="H2719" s="231">
        <f t="shared" si="84"/>
        <v>0</v>
      </c>
      <c r="I2719" s="231">
        <f t="shared" si="85"/>
        <v>0</v>
      </c>
    </row>
    <row r="2720" spans="1:12" hidden="1">
      <c r="A2720" s="1569"/>
      <c r="B2720" s="562"/>
      <c r="C2720" s="604"/>
      <c r="D2720" s="604"/>
      <c r="E2720" s="648"/>
      <c r="F2720" s="383"/>
      <c r="G2720" s="233"/>
      <c r="H2720" s="231">
        <f t="shared" si="84"/>
        <v>0</v>
      </c>
      <c r="I2720" s="231">
        <f t="shared" si="85"/>
        <v>0</v>
      </c>
    </row>
    <row r="2721" spans="1:9" hidden="1">
      <c r="A2721" s="1569"/>
      <c r="B2721" s="617"/>
      <c r="C2721" s="633"/>
      <c r="D2721" s="633"/>
      <c r="E2721" s="633"/>
      <c r="F2721" s="383"/>
      <c r="G2721" s="233"/>
      <c r="H2721" s="231">
        <f t="shared" si="84"/>
        <v>0</v>
      </c>
      <c r="I2721" s="231">
        <f t="shared" si="85"/>
        <v>0</v>
      </c>
    </row>
    <row r="2722" spans="1:9" hidden="1">
      <c r="A2722" s="1569"/>
      <c r="B2722" s="617"/>
      <c r="C2722" s="633"/>
      <c r="D2722" s="633"/>
      <c r="E2722" s="633"/>
      <c r="F2722" s="383"/>
      <c r="G2722" s="233"/>
      <c r="H2722" s="231">
        <f t="shared" si="84"/>
        <v>0</v>
      </c>
      <c r="I2722" s="231">
        <f t="shared" si="85"/>
        <v>0</v>
      </c>
    </row>
    <row r="2723" spans="1:9" hidden="1">
      <c r="A2723" s="1569"/>
      <c r="B2723" s="617"/>
      <c r="C2723" s="633"/>
      <c r="D2723" s="633"/>
      <c r="E2723" s="633"/>
      <c r="F2723" s="383"/>
      <c r="G2723" s="233"/>
      <c r="H2723" s="231">
        <f t="shared" si="84"/>
        <v>0</v>
      </c>
      <c r="I2723" s="231">
        <f t="shared" si="85"/>
        <v>0</v>
      </c>
    </row>
    <row r="2724" spans="1:9" hidden="1">
      <c r="A2724" s="1569"/>
      <c r="B2724" s="617"/>
      <c r="C2724" s="633"/>
      <c r="D2724" s="633"/>
      <c r="E2724" s="633"/>
      <c r="F2724" s="383"/>
      <c r="G2724" s="233"/>
      <c r="H2724" s="231">
        <f t="shared" si="84"/>
        <v>0</v>
      </c>
      <c r="I2724" s="231">
        <f t="shared" si="85"/>
        <v>0</v>
      </c>
    </row>
    <row r="2725" spans="1:9" hidden="1">
      <c r="A2725" s="1569"/>
      <c r="B2725" s="617"/>
      <c r="C2725" s="633"/>
      <c r="D2725" s="633"/>
      <c r="E2725" s="633"/>
      <c r="F2725" s="383"/>
      <c r="G2725" s="233"/>
      <c r="H2725" s="231">
        <f t="shared" si="84"/>
        <v>0</v>
      </c>
      <c r="I2725" s="231">
        <f t="shared" si="85"/>
        <v>0</v>
      </c>
    </row>
    <row r="2726" spans="1:9" hidden="1">
      <c r="A2726" s="1569"/>
      <c r="B2726" s="617"/>
      <c r="C2726" s="633"/>
      <c r="D2726" s="633"/>
      <c r="E2726" s="633"/>
      <c r="F2726" s="383"/>
      <c r="G2726" s="233"/>
      <c r="H2726" s="231">
        <f t="shared" si="84"/>
        <v>0</v>
      </c>
      <c r="I2726" s="231">
        <f t="shared" si="85"/>
        <v>0</v>
      </c>
    </row>
    <row r="2727" spans="1:9" hidden="1">
      <c r="A2727" s="1569"/>
      <c r="B2727" s="617"/>
      <c r="C2727" s="633"/>
      <c r="D2727" s="633"/>
      <c r="E2727" s="633"/>
      <c r="F2727" s="383"/>
      <c r="G2727" s="233"/>
      <c r="H2727" s="231">
        <f t="shared" si="84"/>
        <v>0</v>
      </c>
      <c r="I2727" s="231">
        <f t="shared" si="85"/>
        <v>0</v>
      </c>
    </row>
    <row r="2728" spans="1:9" hidden="1">
      <c r="A2728" s="1569"/>
      <c r="B2728" s="107"/>
      <c r="C2728" s="649"/>
      <c r="D2728" s="649"/>
      <c r="E2728" s="256"/>
      <c r="F2728" s="383"/>
      <c r="G2728" s="233"/>
      <c r="H2728" s="231">
        <f t="shared" si="84"/>
        <v>0</v>
      </c>
      <c r="I2728" s="231">
        <f t="shared" si="85"/>
        <v>0</v>
      </c>
    </row>
    <row r="2729" spans="1:9" hidden="1">
      <c r="A2729" s="1569"/>
      <c r="B2729" s="107"/>
      <c r="C2729" s="649"/>
      <c r="D2729" s="649"/>
      <c r="E2729" s="256"/>
      <c r="F2729" s="383"/>
      <c r="G2729" s="233"/>
      <c r="H2729" s="231">
        <f t="shared" si="84"/>
        <v>0</v>
      </c>
      <c r="I2729" s="231">
        <f t="shared" si="85"/>
        <v>0</v>
      </c>
    </row>
    <row r="2730" spans="1:9" hidden="1">
      <c r="A2730" s="1569"/>
      <c r="B2730" s="107"/>
      <c r="C2730" s="649"/>
      <c r="D2730" s="649"/>
      <c r="E2730" s="256"/>
      <c r="F2730" s="383"/>
      <c r="G2730" s="233"/>
      <c r="H2730" s="231">
        <f t="shared" si="84"/>
        <v>0</v>
      </c>
      <c r="I2730" s="231">
        <f t="shared" si="85"/>
        <v>0</v>
      </c>
    </row>
    <row r="2731" spans="1:9" hidden="1">
      <c r="A2731" s="1569"/>
      <c r="B2731" s="107"/>
      <c r="C2731" s="649"/>
      <c r="D2731" s="649"/>
      <c r="E2731" s="256"/>
      <c r="F2731" s="383"/>
      <c r="G2731" s="233"/>
      <c r="H2731" s="231">
        <f t="shared" si="84"/>
        <v>0</v>
      </c>
      <c r="I2731" s="231">
        <f t="shared" si="85"/>
        <v>0</v>
      </c>
    </row>
    <row r="2732" spans="1:9" hidden="1">
      <c r="A2732" s="1569"/>
      <c r="B2732" s="107"/>
      <c r="C2732" s="649"/>
      <c r="D2732" s="649"/>
      <c r="E2732" s="256"/>
      <c r="F2732" s="383"/>
      <c r="G2732" s="233"/>
      <c r="H2732" s="231">
        <f t="shared" si="84"/>
        <v>0</v>
      </c>
      <c r="I2732" s="231">
        <f t="shared" si="85"/>
        <v>0</v>
      </c>
    </row>
    <row r="2733" spans="1:9" hidden="1">
      <c r="A2733" s="1569"/>
      <c r="B2733" s="107"/>
      <c r="C2733" s="649"/>
      <c r="D2733" s="649"/>
      <c r="E2733" s="256"/>
      <c r="F2733" s="383"/>
      <c r="G2733" s="233"/>
      <c r="H2733" s="231">
        <f t="shared" si="84"/>
        <v>0</v>
      </c>
      <c r="I2733" s="231">
        <f t="shared" si="85"/>
        <v>0</v>
      </c>
    </row>
    <row r="2734" spans="1:9" hidden="1">
      <c r="A2734" s="1569"/>
      <c r="B2734" s="107"/>
      <c r="C2734" s="580"/>
      <c r="D2734" s="256"/>
      <c r="E2734" s="256"/>
      <c r="F2734" s="383"/>
      <c r="G2734" s="233"/>
      <c r="H2734" s="231">
        <f t="shared" si="84"/>
        <v>0</v>
      </c>
      <c r="I2734" s="231">
        <f t="shared" si="85"/>
        <v>0</v>
      </c>
    </row>
    <row r="2735" spans="1:9" hidden="1">
      <c r="A2735" s="1569"/>
      <c r="B2735" s="425"/>
      <c r="C2735" s="649"/>
      <c r="D2735" s="649"/>
      <c r="E2735" s="256"/>
      <c r="F2735" s="383"/>
      <c r="G2735" s="233"/>
      <c r="H2735" s="231">
        <f t="shared" si="84"/>
        <v>0</v>
      </c>
      <c r="I2735" s="231">
        <f t="shared" si="85"/>
        <v>0</v>
      </c>
    </row>
    <row r="2736" spans="1:9" hidden="1">
      <c r="A2736" s="1569"/>
      <c r="B2736" s="770"/>
      <c r="C2736" s="771"/>
      <c r="D2736" s="771"/>
      <c r="E2736" s="772"/>
      <c r="F2736" s="383"/>
      <c r="G2736" s="233"/>
      <c r="H2736" s="231">
        <f t="shared" si="84"/>
        <v>0</v>
      </c>
      <c r="I2736" s="231">
        <f t="shared" si="85"/>
        <v>0</v>
      </c>
    </row>
    <row r="2737" spans="1:9" hidden="1">
      <c r="A2737" s="1569"/>
      <c r="B2737" s="770"/>
      <c r="C2737" s="771"/>
      <c r="D2737" s="771"/>
      <c r="E2737" s="772"/>
      <c r="F2737" s="383"/>
      <c r="G2737" s="233"/>
      <c r="H2737" s="231">
        <f t="shared" si="84"/>
        <v>0</v>
      </c>
      <c r="I2737" s="231">
        <f t="shared" si="85"/>
        <v>0</v>
      </c>
    </row>
    <row r="2738" spans="1:9" hidden="1">
      <c r="A2738" s="1569"/>
      <c r="B2738" s="770"/>
      <c r="C2738" s="771"/>
      <c r="D2738" s="771"/>
      <c r="E2738" s="772"/>
      <c r="F2738" s="383"/>
      <c r="G2738" s="233"/>
      <c r="H2738" s="231">
        <f t="shared" si="84"/>
        <v>0</v>
      </c>
      <c r="I2738" s="231">
        <f t="shared" si="85"/>
        <v>0</v>
      </c>
    </row>
    <row r="2739" spans="1:9" hidden="1">
      <c r="A2739" s="1569"/>
      <c r="B2739" s="770"/>
      <c r="C2739" s="771"/>
      <c r="D2739" s="771"/>
      <c r="E2739" s="772"/>
      <c r="F2739" s="383"/>
      <c r="G2739" s="233"/>
      <c r="H2739" s="231">
        <f t="shared" si="84"/>
        <v>0</v>
      </c>
      <c r="I2739" s="231">
        <f t="shared" si="85"/>
        <v>0</v>
      </c>
    </row>
    <row r="2740" spans="1:9" hidden="1">
      <c r="A2740" s="1569"/>
      <c r="B2740" s="770"/>
      <c r="C2740" s="771"/>
      <c r="D2740" s="771"/>
      <c r="E2740" s="772"/>
      <c r="F2740" s="383"/>
      <c r="G2740" s="233"/>
      <c r="H2740" s="231">
        <f t="shared" si="84"/>
        <v>0</v>
      </c>
      <c r="I2740" s="231">
        <f t="shared" si="85"/>
        <v>0</v>
      </c>
    </row>
    <row r="2741" spans="1:9" hidden="1">
      <c r="A2741" s="1569"/>
      <c r="B2741" s="770"/>
      <c r="C2741" s="771"/>
      <c r="D2741" s="771"/>
      <c r="E2741" s="772"/>
      <c r="F2741" s="383"/>
      <c r="G2741" s="233"/>
      <c r="H2741" s="231">
        <f t="shared" si="84"/>
        <v>0</v>
      </c>
      <c r="I2741" s="231">
        <f t="shared" si="85"/>
        <v>0</v>
      </c>
    </row>
    <row r="2742" spans="1:9" hidden="1">
      <c r="A2742" s="1569"/>
      <c r="B2742" s="770"/>
      <c r="C2742" s="771"/>
      <c r="D2742" s="771"/>
      <c r="E2742" s="772"/>
      <c r="F2742" s="383"/>
      <c r="G2742" s="233"/>
      <c r="H2742" s="231">
        <f t="shared" si="84"/>
        <v>0</v>
      </c>
      <c r="I2742" s="231">
        <f t="shared" si="85"/>
        <v>0</v>
      </c>
    </row>
    <row r="2743" spans="1:9" hidden="1">
      <c r="A2743" s="1569"/>
      <c r="B2743" s="770"/>
      <c r="C2743" s="771"/>
      <c r="D2743" s="771"/>
      <c r="E2743" s="772"/>
      <c r="F2743" s="383"/>
      <c r="G2743" s="233"/>
      <c r="H2743" s="231">
        <f t="shared" si="84"/>
        <v>0</v>
      </c>
      <c r="I2743" s="231">
        <f t="shared" si="85"/>
        <v>0</v>
      </c>
    </row>
    <row r="2744" spans="1:9" hidden="1">
      <c r="A2744" s="1569"/>
      <c r="B2744" s="770"/>
      <c r="C2744" s="771"/>
      <c r="D2744" s="771"/>
      <c r="E2744" s="772"/>
      <c r="F2744" s="383"/>
      <c r="G2744" s="233"/>
      <c r="H2744" s="231">
        <f t="shared" si="84"/>
        <v>0</v>
      </c>
      <c r="I2744" s="231">
        <f t="shared" si="85"/>
        <v>0</v>
      </c>
    </row>
    <row r="2745" spans="1:9" hidden="1">
      <c r="A2745" s="1569"/>
      <c r="B2745" s="770"/>
      <c r="C2745" s="771"/>
      <c r="D2745" s="771"/>
      <c r="E2745" s="772"/>
      <c r="F2745" s="383"/>
      <c r="G2745" s="233"/>
      <c r="H2745" s="231">
        <f t="shared" si="84"/>
        <v>0</v>
      </c>
      <c r="I2745" s="231">
        <f t="shared" si="85"/>
        <v>0</v>
      </c>
    </row>
    <row r="2746" spans="1:9" hidden="1">
      <c r="A2746" s="1569"/>
      <c r="B2746" s="770"/>
      <c r="C2746" s="771"/>
      <c r="D2746" s="771"/>
      <c r="E2746" s="772"/>
      <c r="F2746" s="383"/>
      <c r="G2746" s="233"/>
      <c r="H2746" s="231">
        <f t="shared" si="84"/>
        <v>0</v>
      </c>
      <c r="I2746" s="231">
        <f t="shared" si="85"/>
        <v>0</v>
      </c>
    </row>
    <row r="2747" spans="1:9" hidden="1">
      <c r="A2747" s="1569"/>
      <c r="B2747" s="770"/>
      <c r="C2747" s="771"/>
      <c r="D2747" s="771"/>
      <c r="E2747" s="772"/>
      <c r="F2747" s="383"/>
      <c r="G2747" s="233"/>
      <c r="H2747" s="231">
        <f t="shared" si="84"/>
        <v>0</v>
      </c>
      <c r="I2747" s="231">
        <f t="shared" si="85"/>
        <v>0</v>
      </c>
    </row>
    <row r="2748" spans="1:9" hidden="1">
      <c r="A2748" s="1569"/>
      <c r="B2748" s="770"/>
      <c r="C2748" s="771"/>
      <c r="D2748" s="771"/>
      <c r="E2748" s="772"/>
      <c r="F2748" s="383"/>
      <c r="G2748" s="233"/>
      <c r="H2748" s="231">
        <f t="shared" si="84"/>
        <v>0</v>
      </c>
      <c r="I2748" s="231">
        <f t="shared" si="85"/>
        <v>0</v>
      </c>
    </row>
    <row r="2749" spans="1:9" hidden="1">
      <c r="A2749" s="1569"/>
      <c r="B2749" s="770"/>
      <c r="C2749" s="771"/>
      <c r="D2749" s="771"/>
      <c r="E2749" s="772"/>
      <c r="F2749" s="383"/>
      <c r="G2749" s="233"/>
      <c r="H2749" s="231">
        <f t="shared" si="84"/>
        <v>0</v>
      </c>
      <c r="I2749" s="231">
        <f t="shared" si="85"/>
        <v>0</v>
      </c>
    </row>
    <row r="2750" spans="1:9" hidden="1">
      <c r="A2750" s="1569"/>
      <c r="B2750" s="770"/>
      <c r="C2750" s="771"/>
      <c r="D2750" s="771"/>
      <c r="E2750" s="772"/>
      <c r="F2750" s="383"/>
      <c r="G2750" s="233"/>
      <c r="H2750" s="231">
        <f t="shared" si="84"/>
        <v>0</v>
      </c>
      <c r="I2750" s="231">
        <f t="shared" si="85"/>
        <v>0</v>
      </c>
    </row>
    <row r="2751" spans="1:9" hidden="1">
      <c r="A2751" s="1569"/>
      <c r="B2751" s="770"/>
      <c r="C2751" s="771"/>
      <c r="D2751" s="771"/>
      <c r="E2751" s="772"/>
      <c r="F2751" s="383"/>
      <c r="G2751" s="233"/>
      <c r="H2751" s="231">
        <f t="shared" si="84"/>
        <v>0</v>
      </c>
      <c r="I2751" s="231">
        <f t="shared" si="85"/>
        <v>0</v>
      </c>
    </row>
    <row r="2752" spans="1:9" hidden="1">
      <c r="A2752" s="1569"/>
      <c r="B2752" s="770"/>
      <c r="C2752" s="771"/>
      <c r="D2752" s="771"/>
      <c r="E2752" s="772"/>
      <c r="F2752" s="383"/>
      <c r="G2752" s="233"/>
      <c r="H2752" s="231">
        <f t="shared" si="84"/>
        <v>0</v>
      </c>
      <c r="I2752" s="231">
        <f t="shared" si="85"/>
        <v>0</v>
      </c>
    </row>
    <row r="2753" spans="1:9" hidden="1">
      <c r="A2753" s="1569"/>
      <c r="B2753" s="770"/>
      <c r="C2753" s="771"/>
      <c r="D2753" s="771"/>
      <c r="E2753" s="772"/>
      <c r="F2753" s="383"/>
      <c r="G2753" s="233"/>
      <c r="H2753" s="231">
        <f t="shared" si="84"/>
        <v>0</v>
      </c>
      <c r="I2753" s="231">
        <f t="shared" si="85"/>
        <v>0</v>
      </c>
    </row>
    <row r="2754" spans="1:9" hidden="1">
      <c r="A2754" s="1569"/>
      <c r="B2754" s="770"/>
      <c r="C2754" s="771"/>
      <c r="D2754" s="771"/>
      <c r="E2754" s="772"/>
      <c r="F2754" s="383"/>
      <c r="G2754" s="233"/>
      <c r="H2754" s="231">
        <f t="shared" si="84"/>
        <v>0</v>
      </c>
      <c r="I2754" s="231">
        <f t="shared" si="85"/>
        <v>0</v>
      </c>
    </row>
    <row r="2755" spans="1:9" hidden="1">
      <c r="A2755" s="1569"/>
      <c r="B2755" s="770"/>
      <c r="C2755" s="771"/>
      <c r="D2755" s="771"/>
      <c r="E2755" s="772"/>
      <c r="F2755" s="383"/>
      <c r="G2755" s="233"/>
      <c r="H2755" s="231">
        <f t="shared" si="84"/>
        <v>0</v>
      </c>
      <c r="I2755" s="231">
        <f t="shared" si="85"/>
        <v>0</v>
      </c>
    </row>
    <row r="2756" spans="1:9" hidden="1">
      <c r="A2756" s="1569"/>
      <c r="B2756" s="770"/>
      <c r="C2756" s="771"/>
      <c r="D2756" s="771"/>
      <c r="E2756" s="772"/>
      <c r="F2756" s="383"/>
      <c r="G2756" s="233"/>
      <c r="H2756" s="231">
        <f t="shared" si="84"/>
        <v>0</v>
      </c>
      <c r="I2756" s="231">
        <f t="shared" si="85"/>
        <v>0</v>
      </c>
    </row>
    <row r="2757" spans="1:9" hidden="1">
      <c r="A2757" s="1569"/>
      <c r="B2757" s="770"/>
      <c r="C2757" s="771"/>
      <c r="D2757" s="771"/>
      <c r="E2757" s="772"/>
      <c r="F2757" s="383"/>
      <c r="G2757" s="233"/>
      <c r="H2757" s="231">
        <f t="shared" si="84"/>
        <v>0</v>
      </c>
      <c r="I2757" s="231">
        <f t="shared" si="85"/>
        <v>0</v>
      </c>
    </row>
    <row r="2758" spans="1:9" hidden="1">
      <c r="A2758" s="1569"/>
      <c r="B2758" s="770"/>
      <c r="C2758" s="771"/>
      <c r="D2758" s="771"/>
      <c r="E2758" s="772"/>
      <c r="F2758" s="383"/>
      <c r="G2758" s="233"/>
      <c r="H2758" s="231">
        <f t="shared" si="84"/>
        <v>0</v>
      </c>
      <c r="I2758" s="231">
        <f t="shared" si="85"/>
        <v>0</v>
      </c>
    </row>
    <row r="2759" spans="1:9" hidden="1">
      <c r="A2759" s="1569"/>
      <c r="B2759" s="770"/>
      <c r="C2759" s="771"/>
      <c r="D2759" s="771"/>
      <c r="E2759" s="772"/>
      <c r="F2759" s="383"/>
      <c r="G2759" s="233"/>
      <c r="H2759" s="231">
        <f t="shared" si="84"/>
        <v>0</v>
      </c>
      <c r="I2759" s="231">
        <f t="shared" si="85"/>
        <v>0</v>
      </c>
    </row>
    <row r="2760" spans="1:9" hidden="1">
      <c r="A2760" s="1569"/>
      <c r="B2760" s="371"/>
      <c r="C2760" s="829"/>
      <c r="D2760" s="829"/>
      <c r="E2760" s="829"/>
      <c r="F2760" s="383"/>
      <c r="G2760" s="233"/>
      <c r="H2760" s="231">
        <f t="shared" si="84"/>
        <v>0</v>
      </c>
      <c r="I2760" s="231">
        <f t="shared" si="85"/>
        <v>0</v>
      </c>
    </row>
    <row r="2761" spans="1:9" hidden="1">
      <c r="A2761" s="1569"/>
      <c r="B2761" s="371"/>
      <c r="C2761" s="829"/>
      <c r="D2761" s="829"/>
      <c r="E2761" s="829"/>
      <c r="F2761" s="383"/>
      <c r="G2761" s="233"/>
      <c r="H2761" s="231">
        <f t="shared" ref="H2761:H2824" si="86">E2761+D2761-C2761</f>
        <v>0</v>
      </c>
      <c r="I2761" s="231">
        <f t="shared" ref="I2761:I2824" si="87">SUM(C2761:E2761)</f>
        <v>0</v>
      </c>
    </row>
    <row r="2762" spans="1:9" hidden="1">
      <c r="A2762" s="1569"/>
      <c r="B2762" s="371"/>
      <c r="C2762" s="832"/>
      <c r="D2762" s="829"/>
      <c r="E2762" s="829"/>
      <c r="F2762" s="383"/>
      <c r="G2762" s="233"/>
      <c r="H2762" s="231">
        <f t="shared" si="86"/>
        <v>0</v>
      </c>
      <c r="I2762" s="231">
        <f t="shared" si="87"/>
        <v>0</v>
      </c>
    </row>
    <row r="2763" spans="1:9" hidden="1">
      <c r="A2763" s="1569"/>
      <c r="B2763" s="371"/>
      <c r="C2763" s="832"/>
      <c r="D2763" s="829"/>
      <c r="E2763" s="829"/>
      <c r="F2763" s="383"/>
      <c r="G2763" s="233"/>
      <c r="H2763" s="231">
        <f t="shared" si="86"/>
        <v>0</v>
      </c>
      <c r="I2763" s="231">
        <f t="shared" si="87"/>
        <v>0</v>
      </c>
    </row>
    <row r="2764" spans="1:9" hidden="1">
      <c r="A2764" s="1569"/>
      <c r="B2764" s="371"/>
      <c r="C2764" s="829"/>
      <c r="D2764" s="829"/>
      <c r="E2764" s="829"/>
      <c r="F2764" s="383"/>
      <c r="G2764" s="233"/>
      <c r="H2764" s="231">
        <f t="shared" si="86"/>
        <v>0</v>
      </c>
      <c r="I2764" s="231">
        <f t="shared" si="87"/>
        <v>0</v>
      </c>
    </row>
    <row r="2765" spans="1:9" hidden="1">
      <c r="A2765" s="1569"/>
      <c r="B2765" s="371"/>
      <c r="C2765" s="829"/>
      <c r="D2765" s="829"/>
      <c r="E2765" s="829"/>
      <c r="F2765" s="383"/>
      <c r="G2765" s="233"/>
      <c r="H2765" s="231">
        <f t="shared" si="86"/>
        <v>0</v>
      </c>
      <c r="I2765" s="231">
        <f t="shared" si="87"/>
        <v>0</v>
      </c>
    </row>
    <row r="2766" spans="1:9" hidden="1">
      <c r="A2766" s="1569"/>
      <c r="B2766" s="371"/>
      <c r="C2766" s="665"/>
      <c r="D2766" s="665"/>
      <c r="E2766" s="665"/>
      <c r="F2766" s="383"/>
      <c r="G2766" s="233"/>
      <c r="H2766" s="231">
        <f t="shared" si="86"/>
        <v>0</v>
      </c>
      <c r="I2766" s="231">
        <f t="shared" si="87"/>
        <v>0</v>
      </c>
    </row>
    <row r="2767" spans="1:9" hidden="1">
      <c r="A2767" s="1569"/>
      <c r="B2767" s="371"/>
      <c r="C2767" s="665"/>
      <c r="D2767" s="665"/>
      <c r="E2767" s="665"/>
      <c r="F2767" s="383"/>
      <c r="G2767" s="233"/>
      <c r="H2767" s="231">
        <f t="shared" si="86"/>
        <v>0</v>
      </c>
      <c r="I2767" s="231">
        <f t="shared" si="87"/>
        <v>0</v>
      </c>
    </row>
    <row r="2768" spans="1:9" hidden="1">
      <c r="A2768" s="1569"/>
      <c r="B2768" s="371"/>
      <c r="C2768" s="665"/>
      <c r="D2768" s="665"/>
      <c r="E2768" s="665"/>
      <c r="F2768" s="383"/>
      <c r="G2768" s="233"/>
      <c r="H2768" s="231">
        <f t="shared" si="86"/>
        <v>0</v>
      </c>
      <c r="I2768" s="231">
        <f t="shared" si="87"/>
        <v>0</v>
      </c>
    </row>
    <row r="2769" spans="1:9" hidden="1">
      <c r="A2769" s="1569"/>
      <c r="B2769" s="371"/>
      <c r="C2769" s="665"/>
      <c r="D2769" s="665"/>
      <c r="E2769" s="665"/>
      <c r="F2769" s="383"/>
      <c r="G2769" s="233"/>
      <c r="H2769" s="231">
        <f t="shared" si="86"/>
        <v>0</v>
      </c>
      <c r="I2769" s="231">
        <f t="shared" si="87"/>
        <v>0</v>
      </c>
    </row>
    <row r="2770" spans="1:9" hidden="1">
      <c r="A2770" s="1569"/>
      <c r="B2770" s="371"/>
      <c r="C2770" s="665"/>
      <c r="D2770" s="665"/>
      <c r="E2770" s="665"/>
      <c r="F2770" s="383"/>
      <c r="G2770" s="233"/>
      <c r="H2770" s="231">
        <f t="shared" si="86"/>
        <v>0</v>
      </c>
      <c r="I2770" s="231">
        <f t="shared" si="87"/>
        <v>0</v>
      </c>
    </row>
    <row r="2771" spans="1:9" hidden="1">
      <c r="A2771" s="1569"/>
      <c r="B2771" s="371"/>
      <c r="C2771" s="665"/>
      <c r="D2771" s="665"/>
      <c r="E2771" s="665"/>
      <c r="F2771" s="383"/>
      <c r="G2771" s="233"/>
      <c r="H2771" s="231">
        <f t="shared" si="86"/>
        <v>0</v>
      </c>
      <c r="I2771" s="231">
        <f t="shared" si="87"/>
        <v>0</v>
      </c>
    </row>
    <row r="2772" spans="1:9" hidden="1">
      <c r="A2772" s="1569"/>
      <c r="B2772" s="371"/>
      <c r="C2772" s="665"/>
      <c r="D2772" s="665"/>
      <c r="E2772" s="665"/>
      <c r="F2772" s="383"/>
      <c r="G2772" s="233"/>
      <c r="H2772" s="231">
        <f t="shared" si="86"/>
        <v>0</v>
      </c>
      <c r="I2772" s="231">
        <f t="shared" si="87"/>
        <v>0</v>
      </c>
    </row>
    <row r="2773" spans="1:9" hidden="1">
      <c r="A2773" s="1569"/>
      <c r="B2773" s="371"/>
      <c r="C2773" s="665"/>
      <c r="D2773" s="831"/>
      <c r="E2773" s="831"/>
      <c r="F2773" s="383"/>
      <c r="G2773" s="233"/>
      <c r="H2773" s="231">
        <f t="shared" si="86"/>
        <v>0</v>
      </c>
      <c r="I2773" s="231">
        <f t="shared" si="87"/>
        <v>0</v>
      </c>
    </row>
    <row r="2774" spans="1:9" hidden="1">
      <c r="A2774" s="1569"/>
      <c r="B2774" s="371"/>
      <c r="C2774" s="665"/>
      <c r="D2774" s="831"/>
      <c r="E2774" s="831"/>
      <c r="F2774" s="383"/>
      <c r="G2774" s="233"/>
      <c r="H2774" s="231">
        <f t="shared" si="86"/>
        <v>0</v>
      </c>
      <c r="I2774" s="231">
        <f t="shared" si="87"/>
        <v>0</v>
      </c>
    </row>
    <row r="2775" spans="1:9" hidden="1">
      <c r="A2775" s="1569"/>
      <c r="B2775" s="371"/>
      <c r="C2775" s="665"/>
      <c r="D2775" s="665"/>
      <c r="E2775" s="665"/>
      <c r="F2775" s="383"/>
      <c r="G2775" s="233"/>
      <c r="H2775" s="231">
        <f t="shared" si="86"/>
        <v>0</v>
      </c>
      <c r="I2775" s="231">
        <f t="shared" si="87"/>
        <v>0</v>
      </c>
    </row>
    <row r="2776" spans="1:9" hidden="1">
      <c r="A2776" s="1569"/>
      <c r="B2776" s="857"/>
      <c r="C2776" s="861"/>
      <c r="D2776" s="850"/>
      <c r="E2776" s="844"/>
      <c r="F2776" s="383"/>
      <c r="G2776" s="233"/>
      <c r="H2776" s="231">
        <f t="shared" si="86"/>
        <v>0</v>
      </c>
      <c r="I2776" s="231">
        <f t="shared" si="87"/>
        <v>0</v>
      </c>
    </row>
    <row r="2777" spans="1:9" hidden="1">
      <c r="A2777" s="1569"/>
      <c r="B2777" s="857"/>
      <c r="C2777" s="850"/>
      <c r="D2777" s="850"/>
      <c r="E2777" s="850"/>
      <c r="F2777" s="383"/>
      <c r="G2777" s="233"/>
      <c r="H2777" s="231">
        <f t="shared" si="86"/>
        <v>0</v>
      </c>
      <c r="I2777" s="231">
        <f t="shared" si="87"/>
        <v>0</v>
      </c>
    </row>
    <row r="2778" spans="1:9" hidden="1">
      <c r="A2778" s="1569"/>
      <c r="B2778" s="371"/>
      <c r="C2778" s="850"/>
      <c r="D2778" s="850"/>
      <c r="E2778" s="844"/>
      <c r="F2778" s="383"/>
      <c r="G2778" s="233"/>
      <c r="H2778" s="231">
        <f t="shared" si="86"/>
        <v>0</v>
      </c>
      <c r="I2778" s="231">
        <f t="shared" si="87"/>
        <v>0</v>
      </c>
    </row>
    <row r="2779" spans="1:9" hidden="1">
      <c r="A2779" s="1569"/>
      <c r="B2779" s="371"/>
      <c r="C2779" s="874"/>
      <c r="D2779" s="874"/>
      <c r="E2779" s="862"/>
      <c r="F2779" s="383"/>
      <c r="G2779" s="233"/>
      <c r="H2779" s="231">
        <f t="shared" si="86"/>
        <v>0</v>
      </c>
      <c r="I2779" s="231">
        <f t="shared" si="87"/>
        <v>0</v>
      </c>
    </row>
    <row r="2780" spans="1:9" hidden="1">
      <c r="A2780" s="1569"/>
      <c r="B2780" s="371"/>
      <c r="C2780" s="844"/>
      <c r="D2780" s="844"/>
      <c r="E2780" s="844"/>
      <c r="F2780" s="267"/>
      <c r="G2780" s="233"/>
      <c r="H2780" s="231">
        <f t="shared" si="86"/>
        <v>0</v>
      </c>
      <c r="I2780" s="231">
        <f t="shared" si="87"/>
        <v>0</v>
      </c>
    </row>
    <row r="2781" spans="1:9" hidden="1">
      <c r="A2781" s="1569"/>
      <c r="B2781" s="371"/>
      <c r="C2781" s="850"/>
      <c r="D2781" s="850"/>
      <c r="E2781" s="844"/>
      <c r="F2781" s="267"/>
      <c r="G2781" s="233"/>
      <c r="H2781" s="231">
        <f t="shared" si="86"/>
        <v>0</v>
      </c>
      <c r="I2781" s="231">
        <f t="shared" si="87"/>
        <v>0</v>
      </c>
    </row>
    <row r="2782" spans="1:9" hidden="1">
      <c r="A2782" s="1569"/>
      <c r="B2782" s="371"/>
      <c r="C2782" s="862"/>
      <c r="D2782" s="862"/>
      <c r="E2782" s="862"/>
      <c r="F2782" s="267"/>
      <c r="G2782" s="233"/>
      <c r="H2782" s="231">
        <f t="shared" si="86"/>
        <v>0</v>
      </c>
      <c r="I2782" s="231">
        <f t="shared" si="87"/>
        <v>0</v>
      </c>
    </row>
    <row r="2783" spans="1:9" hidden="1">
      <c r="A2783" s="1569"/>
      <c r="B2783" s="371"/>
      <c r="C2783" s="844"/>
      <c r="D2783" s="844"/>
      <c r="E2783" s="844"/>
      <c r="F2783" s="267"/>
      <c r="G2783" s="233"/>
      <c r="H2783" s="231">
        <f t="shared" si="86"/>
        <v>0</v>
      </c>
      <c r="I2783" s="231">
        <f t="shared" si="87"/>
        <v>0</v>
      </c>
    </row>
    <row r="2784" spans="1:9" hidden="1">
      <c r="A2784" s="1569"/>
      <c r="B2784" s="371"/>
      <c r="C2784" s="850"/>
      <c r="D2784" s="850"/>
      <c r="E2784" s="844"/>
      <c r="F2784" s="267"/>
      <c r="G2784" s="233"/>
      <c r="H2784" s="231">
        <f t="shared" si="86"/>
        <v>0</v>
      </c>
      <c r="I2784" s="231">
        <f t="shared" si="87"/>
        <v>0</v>
      </c>
    </row>
    <row r="2785" spans="1:9" hidden="1">
      <c r="A2785" s="1569"/>
      <c r="B2785" s="371"/>
      <c r="C2785" s="850"/>
      <c r="D2785" s="850"/>
      <c r="E2785" s="844"/>
      <c r="F2785" s="267"/>
      <c r="G2785" s="233"/>
      <c r="H2785" s="231">
        <f t="shared" si="86"/>
        <v>0</v>
      </c>
      <c r="I2785" s="231">
        <f t="shared" si="87"/>
        <v>0</v>
      </c>
    </row>
    <row r="2786" spans="1:9" hidden="1">
      <c r="A2786" s="1569"/>
      <c r="B2786" s="371"/>
      <c r="C2786" s="850"/>
      <c r="D2786" s="850"/>
      <c r="E2786" s="844"/>
      <c r="F2786" s="267"/>
      <c r="G2786" s="233"/>
      <c r="H2786" s="231">
        <f t="shared" si="86"/>
        <v>0</v>
      </c>
      <c r="I2786" s="231">
        <f t="shared" si="87"/>
        <v>0</v>
      </c>
    </row>
    <row r="2787" spans="1:9" hidden="1">
      <c r="A2787" s="1569"/>
      <c r="B2787" s="371"/>
      <c r="C2787" s="850"/>
      <c r="D2787" s="850"/>
      <c r="E2787" s="844"/>
      <c r="F2787" s="267"/>
      <c r="G2787" s="233"/>
      <c r="H2787" s="231">
        <f t="shared" si="86"/>
        <v>0</v>
      </c>
      <c r="I2787" s="231">
        <f t="shared" si="87"/>
        <v>0</v>
      </c>
    </row>
    <row r="2788" spans="1:9" hidden="1">
      <c r="A2788" s="1569"/>
      <c r="B2788" s="821"/>
      <c r="C2788" s="852"/>
      <c r="D2788" s="852"/>
      <c r="E2788" s="852"/>
      <c r="F2788" s="267"/>
      <c r="G2788" s="233"/>
      <c r="H2788" s="231">
        <f t="shared" si="86"/>
        <v>0</v>
      </c>
      <c r="I2788" s="231">
        <f t="shared" si="87"/>
        <v>0</v>
      </c>
    </row>
    <row r="2789" spans="1:9" hidden="1">
      <c r="A2789" s="1569"/>
      <c r="B2789" s="821"/>
      <c r="C2789" s="852"/>
      <c r="D2789" s="852"/>
      <c r="E2789" s="852"/>
      <c r="F2789" s="267"/>
      <c r="G2789" s="233"/>
      <c r="H2789" s="231">
        <f t="shared" si="86"/>
        <v>0</v>
      </c>
      <c r="I2789" s="231">
        <f t="shared" si="87"/>
        <v>0</v>
      </c>
    </row>
    <row r="2790" spans="1:9" hidden="1">
      <c r="A2790" s="1569"/>
      <c r="B2790" s="821"/>
      <c r="C2790" s="852"/>
      <c r="D2790" s="852"/>
      <c r="E2790" s="852"/>
      <c r="F2790" s="267"/>
      <c r="G2790" s="233"/>
      <c r="H2790" s="231">
        <f t="shared" si="86"/>
        <v>0</v>
      </c>
      <c r="I2790" s="231">
        <f t="shared" si="87"/>
        <v>0</v>
      </c>
    </row>
    <row r="2791" spans="1:9" hidden="1">
      <c r="A2791" s="1569"/>
      <c r="B2791" s="371"/>
      <c r="C2791" s="850"/>
      <c r="D2791" s="850"/>
      <c r="E2791" s="844"/>
      <c r="F2791" s="267"/>
      <c r="G2791" s="233"/>
      <c r="H2791" s="231">
        <f t="shared" si="86"/>
        <v>0</v>
      </c>
      <c r="I2791" s="231">
        <f t="shared" si="87"/>
        <v>0</v>
      </c>
    </row>
    <row r="2792" spans="1:9" hidden="1">
      <c r="A2792" s="1569"/>
      <c r="B2792" s="371"/>
      <c r="C2792" s="850"/>
      <c r="D2792" s="850"/>
      <c r="E2792" s="844"/>
      <c r="F2792" s="267"/>
      <c r="G2792" s="233"/>
      <c r="H2792" s="231">
        <f t="shared" si="86"/>
        <v>0</v>
      </c>
      <c r="I2792" s="231">
        <f t="shared" si="87"/>
        <v>0</v>
      </c>
    </row>
    <row r="2793" spans="1:9" hidden="1">
      <c r="A2793" s="1569"/>
      <c r="B2793" s="371"/>
      <c r="C2793" s="850"/>
      <c r="D2793" s="850"/>
      <c r="E2793" s="844"/>
      <c r="F2793" s="267"/>
      <c r="G2793" s="233"/>
      <c r="H2793" s="231">
        <f t="shared" si="86"/>
        <v>0</v>
      </c>
      <c r="I2793" s="231">
        <f t="shared" si="87"/>
        <v>0</v>
      </c>
    </row>
    <row r="2794" spans="1:9" hidden="1">
      <c r="A2794" s="1569"/>
      <c r="B2794" s="371"/>
      <c r="C2794" s="850"/>
      <c r="D2794" s="850"/>
      <c r="E2794" s="844"/>
      <c r="F2794" s="267"/>
      <c r="G2794" s="233"/>
      <c r="H2794" s="231">
        <f t="shared" si="86"/>
        <v>0</v>
      </c>
      <c r="I2794" s="231">
        <f t="shared" si="87"/>
        <v>0</v>
      </c>
    </row>
    <row r="2795" spans="1:9" hidden="1">
      <c r="A2795" s="1569"/>
      <c r="B2795" s="875"/>
      <c r="C2795" s="846"/>
      <c r="D2795" s="847"/>
      <c r="E2795" s="847"/>
      <c r="F2795" s="267"/>
      <c r="G2795" s="233"/>
      <c r="H2795" s="231">
        <f t="shared" si="86"/>
        <v>0</v>
      </c>
      <c r="I2795" s="231">
        <f t="shared" si="87"/>
        <v>0</v>
      </c>
    </row>
    <row r="2796" spans="1:9" hidden="1">
      <c r="A2796" s="1569"/>
      <c r="B2796" s="382"/>
      <c r="C2796" s="678"/>
      <c r="D2796" s="678"/>
      <c r="E2796" s="678"/>
      <c r="F2796" s="267"/>
      <c r="G2796" s="233"/>
      <c r="H2796" s="231">
        <f t="shared" si="86"/>
        <v>0</v>
      </c>
      <c r="I2796" s="231">
        <f t="shared" si="87"/>
        <v>0</v>
      </c>
    </row>
    <row r="2797" spans="1:9" hidden="1">
      <c r="A2797" s="1569"/>
      <c r="B2797" s="382"/>
      <c r="C2797" s="678"/>
      <c r="D2797" s="678"/>
      <c r="E2797" s="678"/>
      <c r="F2797" s="267"/>
      <c r="G2797" s="233"/>
      <c r="H2797" s="231">
        <f t="shared" si="86"/>
        <v>0</v>
      </c>
      <c r="I2797" s="231">
        <f t="shared" si="87"/>
        <v>0</v>
      </c>
    </row>
    <row r="2798" spans="1:9" hidden="1">
      <c r="A2798" s="1569"/>
      <c r="B2798" s="382"/>
      <c r="C2798" s="678"/>
      <c r="D2798" s="678"/>
      <c r="E2798" s="678"/>
      <c r="F2798" s="267"/>
      <c r="G2798" s="233"/>
      <c r="H2798" s="231">
        <f t="shared" si="86"/>
        <v>0</v>
      </c>
      <c r="I2798" s="231">
        <f t="shared" si="87"/>
        <v>0</v>
      </c>
    </row>
    <row r="2799" spans="1:9" hidden="1">
      <c r="A2799" s="1569"/>
      <c r="B2799" s="382"/>
      <c r="C2799" s="678"/>
      <c r="D2799" s="678"/>
      <c r="E2799" s="678"/>
      <c r="F2799" s="267"/>
      <c r="G2799" s="233"/>
      <c r="H2799" s="231">
        <f t="shared" si="86"/>
        <v>0</v>
      </c>
      <c r="I2799" s="231">
        <f t="shared" si="87"/>
        <v>0</v>
      </c>
    </row>
    <row r="2800" spans="1:9" hidden="1">
      <c r="A2800" s="1569"/>
      <c r="B2800" s="382"/>
      <c r="C2800" s="678"/>
      <c r="D2800" s="678"/>
      <c r="E2800" s="678"/>
      <c r="F2800" s="267"/>
      <c r="G2800" s="233"/>
      <c r="H2800" s="231">
        <f t="shared" si="86"/>
        <v>0</v>
      </c>
      <c r="I2800" s="231">
        <f t="shared" si="87"/>
        <v>0</v>
      </c>
    </row>
    <row r="2801" spans="1:9" hidden="1">
      <c r="A2801" s="1569"/>
      <c r="B2801" s="382"/>
      <c r="C2801" s="678"/>
      <c r="D2801" s="678"/>
      <c r="E2801" s="678"/>
      <c r="F2801" s="267"/>
      <c r="G2801" s="233"/>
      <c r="H2801" s="231">
        <f t="shared" si="86"/>
        <v>0</v>
      </c>
      <c r="I2801" s="231">
        <f t="shared" si="87"/>
        <v>0</v>
      </c>
    </row>
    <row r="2802" spans="1:9" hidden="1">
      <c r="A2802" s="1569"/>
      <c r="B2802" s="382"/>
      <c r="C2802" s="678"/>
      <c r="D2802" s="678"/>
      <c r="E2802" s="678"/>
      <c r="F2802" s="267"/>
      <c r="G2802" s="233"/>
      <c r="H2802" s="231">
        <f t="shared" si="86"/>
        <v>0</v>
      </c>
      <c r="I2802" s="231">
        <f t="shared" si="87"/>
        <v>0</v>
      </c>
    </row>
    <row r="2803" spans="1:9" hidden="1">
      <c r="A2803" s="1569"/>
      <c r="B2803" s="382"/>
      <c r="C2803" s="678"/>
      <c r="D2803" s="678"/>
      <c r="E2803" s="678"/>
      <c r="F2803" s="267"/>
      <c r="G2803" s="233"/>
      <c r="H2803" s="231">
        <f t="shared" si="86"/>
        <v>0</v>
      </c>
      <c r="I2803" s="231">
        <f t="shared" si="87"/>
        <v>0</v>
      </c>
    </row>
    <row r="2804" spans="1:9" hidden="1">
      <c r="A2804" s="1569"/>
      <c r="B2804" s="382"/>
      <c r="C2804" s="678"/>
      <c r="D2804" s="678"/>
      <c r="E2804" s="678"/>
      <c r="F2804" s="267"/>
      <c r="G2804" s="233"/>
      <c r="H2804" s="231">
        <f t="shared" si="86"/>
        <v>0</v>
      </c>
      <c r="I2804" s="231">
        <f t="shared" si="87"/>
        <v>0</v>
      </c>
    </row>
    <row r="2805" spans="1:9" hidden="1">
      <c r="A2805" s="1569"/>
      <c r="B2805" s="382"/>
      <c r="C2805" s="678"/>
      <c r="D2805" s="678"/>
      <c r="E2805" s="678"/>
      <c r="F2805" s="267"/>
      <c r="G2805" s="233"/>
      <c r="H2805" s="231">
        <f t="shared" si="86"/>
        <v>0</v>
      </c>
      <c r="I2805" s="231">
        <f t="shared" si="87"/>
        <v>0</v>
      </c>
    </row>
    <row r="2806" spans="1:9" hidden="1">
      <c r="A2806" s="1569"/>
      <c r="B2806" s="382"/>
      <c r="C2806" s="678"/>
      <c r="D2806" s="678"/>
      <c r="E2806" s="678"/>
      <c r="F2806" s="267"/>
      <c r="G2806" s="233"/>
      <c r="H2806" s="231">
        <f t="shared" si="86"/>
        <v>0</v>
      </c>
      <c r="I2806" s="231">
        <f t="shared" si="87"/>
        <v>0</v>
      </c>
    </row>
    <row r="2807" spans="1:9" hidden="1">
      <c r="A2807" s="1569"/>
      <c r="B2807" s="382"/>
      <c r="C2807" s="678"/>
      <c r="D2807" s="678"/>
      <c r="E2807" s="678"/>
      <c r="F2807" s="267"/>
      <c r="G2807" s="233"/>
      <c r="H2807" s="231">
        <f t="shared" si="86"/>
        <v>0</v>
      </c>
      <c r="I2807" s="231">
        <f t="shared" si="87"/>
        <v>0</v>
      </c>
    </row>
    <row r="2808" spans="1:9" hidden="1">
      <c r="A2808" s="1569"/>
      <c r="B2808" s="382"/>
      <c r="C2808" s="678"/>
      <c r="D2808" s="678"/>
      <c r="E2808" s="678"/>
      <c r="F2808" s="267"/>
      <c r="G2808" s="233"/>
      <c r="H2808" s="231">
        <f t="shared" si="86"/>
        <v>0</v>
      </c>
      <c r="I2808" s="231">
        <f t="shared" si="87"/>
        <v>0</v>
      </c>
    </row>
    <row r="2809" spans="1:9" hidden="1">
      <c r="A2809" s="1569"/>
      <c r="B2809" s="382"/>
      <c r="C2809" s="678"/>
      <c r="D2809" s="678"/>
      <c r="E2809" s="678"/>
      <c r="F2809" s="267"/>
      <c r="G2809" s="233"/>
      <c r="H2809" s="231">
        <f t="shared" si="86"/>
        <v>0</v>
      </c>
      <c r="I2809" s="231">
        <f t="shared" si="87"/>
        <v>0</v>
      </c>
    </row>
    <row r="2810" spans="1:9" hidden="1">
      <c r="A2810" s="1569"/>
      <c r="B2810" s="382"/>
      <c r="C2810" s="678"/>
      <c r="D2810" s="678"/>
      <c r="E2810" s="678"/>
      <c r="F2810" s="267"/>
      <c r="G2810" s="233"/>
      <c r="H2810" s="231">
        <f t="shared" si="86"/>
        <v>0</v>
      </c>
      <c r="I2810" s="231">
        <f t="shared" si="87"/>
        <v>0</v>
      </c>
    </row>
    <row r="2811" spans="1:9" hidden="1">
      <c r="A2811" s="1569"/>
      <c r="B2811" s="382"/>
      <c r="C2811" s="678"/>
      <c r="D2811" s="678"/>
      <c r="E2811" s="678"/>
      <c r="F2811" s="267"/>
      <c r="G2811" s="233"/>
      <c r="H2811" s="231">
        <f t="shared" si="86"/>
        <v>0</v>
      </c>
      <c r="I2811" s="231">
        <f t="shared" si="87"/>
        <v>0</v>
      </c>
    </row>
    <row r="2812" spans="1:9" hidden="1">
      <c r="A2812" s="1569"/>
      <c r="B2812" s="382"/>
      <c r="C2812" s="678"/>
      <c r="D2812" s="678"/>
      <c r="E2812" s="678"/>
      <c r="F2812" s="267"/>
      <c r="G2812" s="233"/>
      <c r="H2812" s="231">
        <f t="shared" si="86"/>
        <v>0</v>
      </c>
      <c r="I2812" s="231">
        <f t="shared" si="87"/>
        <v>0</v>
      </c>
    </row>
    <row r="2813" spans="1:9" hidden="1">
      <c r="A2813" s="1569"/>
      <c r="B2813" s="382"/>
      <c r="C2813" s="678"/>
      <c r="D2813" s="678"/>
      <c r="E2813" s="678"/>
      <c r="F2813" s="267"/>
      <c r="G2813" s="233"/>
      <c r="H2813" s="231">
        <f t="shared" si="86"/>
        <v>0</v>
      </c>
      <c r="I2813" s="231">
        <f t="shared" si="87"/>
        <v>0</v>
      </c>
    </row>
    <row r="2814" spans="1:9" hidden="1">
      <c r="A2814" s="1569"/>
      <c r="B2814" s="382"/>
      <c r="C2814" s="678"/>
      <c r="D2814" s="678"/>
      <c r="E2814" s="678"/>
      <c r="F2814" s="267"/>
      <c r="G2814" s="233"/>
      <c r="H2814" s="231">
        <f t="shared" si="86"/>
        <v>0</v>
      </c>
      <c r="I2814" s="231">
        <f t="shared" si="87"/>
        <v>0</v>
      </c>
    </row>
    <row r="2815" spans="1:9" hidden="1">
      <c r="A2815" s="1569"/>
      <c r="B2815" s="107"/>
      <c r="C2815" s="654"/>
      <c r="D2815" s="654"/>
      <c r="E2815" s="256"/>
      <c r="F2815" s="267"/>
      <c r="G2815" s="233"/>
      <c r="H2815" s="231">
        <f t="shared" si="86"/>
        <v>0</v>
      </c>
      <c r="I2815" s="231">
        <f t="shared" si="87"/>
        <v>0</v>
      </c>
    </row>
    <row r="2816" spans="1:9" hidden="1">
      <c r="A2816" s="1569"/>
      <c r="B2816" s="107"/>
      <c r="C2816" s="654"/>
      <c r="D2816" s="654"/>
      <c r="E2816" s="256"/>
      <c r="F2816" s="267"/>
      <c r="G2816" s="233"/>
      <c r="H2816" s="231">
        <f t="shared" si="86"/>
        <v>0</v>
      </c>
      <c r="I2816" s="231">
        <f t="shared" si="87"/>
        <v>0</v>
      </c>
    </row>
    <row r="2817" spans="1:12" hidden="1">
      <c r="A2817" s="1569"/>
      <c r="B2817" s="107"/>
      <c r="C2817" s="654"/>
      <c r="D2817" s="654"/>
      <c r="E2817" s="256"/>
      <c r="F2817" s="267"/>
      <c r="G2817" s="233"/>
      <c r="H2817" s="231">
        <f t="shared" si="86"/>
        <v>0</v>
      </c>
      <c r="I2817" s="231">
        <f t="shared" si="87"/>
        <v>0</v>
      </c>
    </row>
    <row r="2818" spans="1:12">
      <c r="A2818" s="1659"/>
      <c r="B2818" s="209" t="s">
        <v>985</v>
      </c>
      <c r="C2818" s="581">
        <f>SUM(C2671:C2817)</f>
        <v>2749722</v>
      </c>
      <c r="D2818" s="581">
        <f>SUM(D2671:D2817)</f>
        <v>300722</v>
      </c>
      <c r="E2818" s="581">
        <f>SUM(E2671:E2817)</f>
        <v>2449000</v>
      </c>
      <c r="F2818" s="267"/>
      <c r="G2818" s="233"/>
      <c r="H2818" s="1497">
        <f t="shared" si="86"/>
        <v>0</v>
      </c>
      <c r="I2818" s="1497">
        <f t="shared" si="87"/>
        <v>5499444</v>
      </c>
      <c r="J2818" s="1440"/>
      <c r="K2818" s="1490"/>
      <c r="L2818" s="1490"/>
    </row>
    <row r="2819" spans="1:12" ht="112.5">
      <c r="A2819" s="1568" t="s">
        <v>1100</v>
      </c>
      <c r="B2819" s="107" t="s">
        <v>773</v>
      </c>
      <c r="C2819" s="510">
        <v>300000</v>
      </c>
      <c r="D2819" s="510"/>
      <c r="E2819" s="510">
        <v>300000</v>
      </c>
      <c r="F2819" s="267"/>
      <c r="G2819" s="233"/>
      <c r="H2819" s="1497">
        <f t="shared" si="86"/>
        <v>0</v>
      </c>
      <c r="I2819" s="1497">
        <f t="shared" si="87"/>
        <v>600000</v>
      </c>
      <c r="J2819" s="1440"/>
      <c r="K2819" s="1490"/>
      <c r="L2819" s="1490"/>
    </row>
    <row r="2820" spans="1:12" ht="56.25">
      <c r="A2820" s="1569"/>
      <c r="B2820" s="107" t="s">
        <v>1759</v>
      </c>
      <c r="C2820" s="184">
        <v>4000</v>
      </c>
      <c r="D2820" s="184">
        <v>4000</v>
      </c>
      <c r="E2820" s="184"/>
      <c r="F2820" s="267"/>
      <c r="G2820" s="233"/>
      <c r="H2820" s="1497">
        <f t="shared" si="86"/>
        <v>0</v>
      </c>
      <c r="I2820" s="1497">
        <f t="shared" si="87"/>
        <v>8000</v>
      </c>
      <c r="J2820" s="1440"/>
      <c r="K2820" s="1490"/>
      <c r="L2820" s="1490"/>
    </row>
    <row r="2821" spans="1:12" hidden="1">
      <c r="A2821" s="1569"/>
      <c r="B2821" s="107"/>
      <c r="C2821" s="589"/>
      <c r="D2821" s="589"/>
      <c r="E2821" s="510"/>
      <c r="F2821" s="267"/>
      <c r="G2821" s="233"/>
      <c r="H2821" s="231">
        <f t="shared" si="86"/>
        <v>0</v>
      </c>
      <c r="I2821" s="231">
        <f t="shared" si="87"/>
        <v>0</v>
      </c>
    </row>
    <row r="2822" spans="1:12" hidden="1">
      <c r="A2822" s="1569"/>
      <c r="B2822" s="563"/>
      <c r="C2822" s="648"/>
      <c r="D2822" s="648"/>
      <c r="E2822" s="648"/>
      <c r="F2822" s="267"/>
      <c r="G2822" s="233"/>
      <c r="H2822" s="231">
        <f t="shared" si="86"/>
        <v>0</v>
      </c>
      <c r="I2822" s="231">
        <f t="shared" si="87"/>
        <v>0</v>
      </c>
    </row>
    <row r="2823" spans="1:12" hidden="1">
      <c r="A2823" s="1569"/>
      <c r="B2823" s="563"/>
      <c r="C2823" s="648"/>
      <c r="D2823" s="648"/>
      <c r="E2823" s="648"/>
      <c r="F2823" s="267"/>
      <c r="G2823" s="233"/>
      <c r="H2823" s="231">
        <f t="shared" si="86"/>
        <v>0</v>
      </c>
      <c r="I2823" s="231">
        <f t="shared" si="87"/>
        <v>0</v>
      </c>
    </row>
    <row r="2824" spans="1:12" hidden="1">
      <c r="A2824" s="1569"/>
      <c r="B2824" s="617"/>
      <c r="C2824" s="633"/>
      <c r="D2824" s="633"/>
      <c r="E2824" s="633"/>
      <c r="F2824" s="267"/>
      <c r="G2824" s="233"/>
      <c r="H2824" s="231">
        <f t="shared" si="86"/>
        <v>0</v>
      </c>
      <c r="I2824" s="231">
        <f t="shared" si="87"/>
        <v>0</v>
      </c>
    </row>
    <row r="2825" spans="1:12" hidden="1">
      <c r="A2825" s="1569"/>
      <c r="B2825" s="107"/>
      <c r="C2825" s="649"/>
      <c r="D2825" s="649"/>
      <c r="E2825" s="256"/>
      <c r="F2825" s="267"/>
      <c r="G2825" s="233"/>
      <c r="H2825" s="231">
        <f t="shared" ref="H2825:H2888" si="88">E2825+D2825-C2825</f>
        <v>0</v>
      </c>
      <c r="I2825" s="231">
        <f t="shared" ref="I2825:I2888" si="89">SUM(C2825:E2825)</f>
        <v>0</v>
      </c>
    </row>
    <row r="2826" spans="1:12" hidden="1">
      <c r="A2826" s="1569"/>
      <c r="B2826" s="107"/>
      <c r="C2826" s="649"/>
      <c r="D2826" s="649"/>
      <c r="E2826" s="256"/>
      <c r="F2826" s="267"/>
      <c r="G2826" s="233"/>
      <c r="H2826" s="231">
        <f t="shared" si="88"/>
        <v>0</v>
      </c>
      <c r="I2826" s="231">
        <f t="shared" si="89"/>
        <v>0</v>
      </c>
    </row>
    <row r="2827" spans="1:12" hidden="1">
      <c r="A2827" s="1569"/>
      <c r="B2827" s="371"/>
      <c r="C2827" s="830"/>
      <c r="D2827" s="830"/>
      <c r="E2827" s="830"/>
      <c r="F2827" s="267"/>
      <c r="G2827" s="233"/>
      <c r="H2827" s="231">
        <f t="shared" si="88"/>
        <v>0</v>
      </c>
      <c r="I2827" s="231">
        <f t="shared" si="89"/>
        <v>0</v>
      </c>
    </row>
    <row r="2828" spans="1:12" hidden="1">
      <c r="A2828" s="1569"/>
      <c r="B2828" s="107"/>
      <c r="C2828" s="654"/>
      <c r="D2828" s="654"/>
      <c r="E2828" s="654"/>
      <c r="F2828" s="267"/>
      <c r="G2828" s="233"/>
      <c r="H2828" s="231">
        <f t="shared" si="88"/>
        <v>0</v>
      </c>
      <c r="I2828" s="231">
        <f t="shared" si="89"/>
        <v>0</v>
      </c>
    </row>
    <row r="2829" spans="1:12" hidden="1">
      <c r="A2829" s="1569"/>
      <c r="B2829" s="107"/>
      <c r="C2829" s="654"/>
      <c r="D2829" s="654"/>
      <c r="E2829" s="256"/>
      <c r="F2829" s="267"/>
      <c r="G2829" s="233"/>
      <c r="H2829" s="231">
        <f t="shared" si="88"/>
        <v>0</v>
      </c>
      <c r="I2829" s="231">
        <f t="shared" si="89"/>
        <v>0</v>
      </c>
    </row>
    <row r="2830" spans="1:12" hidden="1">
      <c r="A2830" s="1569"/>
      <c r="B2830" s="107"/>
      <c r="C2830" s="654"/>
      <c r="D2830" s="654"/>
      <c r="E2830" s="256"/>
      <c r="F2830" s="267"/>
      <c r="G2830" s="233"/>
      <c r="H2830" s="231">
        <f t="shared" si="88"/>
        <v>0</v>
      </c>
      <c r="I2830" s="231">
        <f t="shared" si="89"/>
        <v>0</v>
      </c>
    </row>
    <row r="2831" spans="1:12" hidden="1">
      <c r="A2831" s="1569"/>
      <c r="B2831" s="107"/>
      <c r="C2831" s="654"/>
      <c r="D2831" s="654"/>
      <c r="E2831" s="256"/>
      <c r="F2831" s="267"/>
      <c r="G2831" s="233"/>
      <c r="H2831" s="231">
        <f t="shared" si="88"/>
        <v>0</v>
      </c>
      <c r="I2831" s="231">
        <f t="shared" si="89"/>
        <v>0</v>
      </c>
    </row>
    <row r="2832" spans="1:12" hidden="1">
      <c r="A2832" s="1569"/>
      <c r="B2832" s="107"/>
      <c r="C2832" s="654"/>
      <c r="D2832" s="654"/>
      <c r="E2832" s="256"/>
      <c r="F2832" s="267"/>
      <c r="G2832" s="233"/>
      <c r="H2832" s="231">
        <f t="shared" si="88"/>
        <v>0</v>
      </c>
      <c r="I2832" s="231">
        <f t="shared" si="89"/>
        <v>0</v>
      </c>
    </row>
    <row r="2833" spans="1:9" hidden="1">
      <c r="A2833" s="1569"/>
      <c r="B2833" s="116"/>
      <c r="C2833" s="679"/>
      <c r="D2833" s="679"/>
      <c r="E2833" s="256"/>
      <c r="F2833" s="267"/>
      <c r="G2833" s="233"/>
      <c r="H2833" s="231">
        <f t="shared" si="88"/>
        <v>0</v>
      </c>
      <c r="I2833" s="231">
        <f t="shared" si="89"/>
        <v>0</v>
      </c>
    </row>
    <row r="2834" spans="1:9" hidden="1">
      <c r="A2834" s="1569"/>
      <c r="B2834" s="107"/>
      <c r="C2834" s="654"/>
      <c r="D2834" s="654"/>
      <c r="E2834" s="256"/>
      <c r="F2834" s="267"/>
      <c r="G2834" s="233"/>
      <c r="H2834" s="231">
        <f t="shared" si="88"/>
        <v>0</v>
      </c>
      <c r="I2834" s="231">
        <f t="shared" si="89"/>
        <v>0</v>
      </c>
    </row>
    <row r="2835" spans="1:9" hidden="1">
      <c r="A2835" s="1569"/>
      <c r="B2835" s="107"/>
      <c r="C2835" s="654"/>
      <c r="D2835" s="654"/>
      <c r="E2835" s="256"/>
      <c r="F2835" s="267"/>
      <c r="G2835" s="233"/>
      <c r="H2835" s="231">
        <f t="shared" si="88"/>
        <v>0</v>
      </c>
      <c r="I2835" s="231">
        <f t="shared" si="89"/>
        <v>0</v>
      </c>
    </row>
    <row r="2836" spans="1:9" hidden="1">
      <c r="A2836" s="1569"/>
      <c r="B2836" s="107"/>
      <c r="C2836" s="654"/>
      <c r="D2836" s="654"/>
      <c r="E2836" s="256"/>
      <c r="F2836" s="267"/>
      <c r="G2836" s="233"/>
      <c r="H2836" s="231">
        <f t="shared" si="88"/>
        <v>0</v>
      </c>
      <c r="I2836" s="231">
        <f t="shared" si="89"/>
        <v>0</v>
      </c>
    </row>
    <row r="2837" spans="1:9" hidden="1">
      <c r="A2837" s="1569"/>
      <c r="B2837" s="107"/>
      <c r="C2837" s="654"/>
      <c r="D2837" s="654"/>
      <c r="E2837" s="256"/>
      <c r="F2837" s="267"/>
      <c r="G2837" s="233"/>
      <c r="H2837" s="231">
        <f t="shared" si="88"/>
        <v>0</v>
      </c>
      <c r="I2837" s="231">
        <f t="shared" si="89"/>
        <v>0</v>
      </c>
    </row>
    <row r="2838" spans="1:9" hidden="1">
      <c r="A2838" s="1569"/>
      <c r="B2838" s="107"/>
      <c r="C2838" s="654"/>
      <c r="D2838" s="654"/>
      <c r="E2838" s="256"/>
      <c r="F2838" s="267"/>
      <c r="G2838" s="233"/>
      <c r="H2838" s="231">
        <f t="shared" si="88"/>
        <v>0</v>
      </c>
      <c r="I2838" s="231">
        <f t="shared" si="89"/>
        <v>0</v>
      </c>
    </row>
    <row r="2839" spans="1:9" hidden="1">
      <c r="A2839" s="1569"/>
      <c r="B2839" s="107"/>
      <c r="C2839" s="654"/>
      <c r="D2839" s="654"/>
      <c r="E2839" s="256"/>
      <c r="F2839" s="267"/>
      <c r="G2839" s="233"/>
      <c r="H2839" s="231">
        <f t="shared" si="88"/>
        <v>0</v>
      </c>
      <c r="I2839" s="231">
        <f t="shared" si="89"/>
        <v>0</v>
      </c>
    </row>
    <row r="2840" spans="1:9" hidden="1">
      <c r="A2840" s="1569"/>
      <c r="B2840" s="107"/>
      <c r="C2840" s="654"/>
      <c r="D2840" s="654"/>
      <c r="E2840" s="256"/>
      <c r="F2840" s="267"/>
      <c r="G2840" s="233"/>
      <c r="H2840" s="231">
        <f t="shared" si="88"/>
        <v>0</v>
      </c>
      <c r="I2840" s="231">
        <f t="shared" si="89"/>
        <v>0</v>
      </c>
    </row>
    <row r="2841" spans="1:9" hidden="1">
      <c r="A2841" s="1569"/>
      <c r="B2841" s="107"/>
      <c r="C2841" s="654"/>
      <c r="D2841" s="654"/>
      <c r="E2841" s="256"/>
      <c r="F2841" s="267"/>
      <c r="G2841" s="233"/>
      <c r="H2841" s="231">
        <f t="shared" si="88"/>
        <v>0</v>
      </c>
      <c r="I2841" s="231">
        <f t="shared" si="89"/>
        <v>0</v>
      </c>
    </row>
    <row r="2842" spans="1:9" hidden="1">
      <c r="A2842" s="1569"/>
      <c r="B2842" s="107"/>
      <c r="C2842" s="654"/>
      <c r="D2842" s="654"/>
      <c r="E2842" s="256"/>
      <c r="F2842" s="267"/>
      <c r="G2842" s="233"/>
      <c r="H2842" s="231">
        <f t="shared" si="88"/>
        <v>0</v>
      </c>
      <c r="I2842" s="231">
        <f t="shared" si="89"/>
        <v>0</v>
      </c>
    </row>
    <row r="2843" spans="1:9" hidden="1">
      <c r="A2843" s="1569"/>
      <c r="B2843" s="107"/>
      <c r="C2843" s="654"/>
      <c r="D2843" s="654"/>
      <c r="E2843" s="256"/>
      <c r="F2843" s="267"/>
      <c r="G2843" s="233"/>
      <c r="H2843" s="231">
        <f t="shared" si="88"/>
        <v>0</v>
      </c>
      <c r="I2843" s="231">
        <f t="shared" si="89"/>
        <v>0</v>
      </c>
    </row>
    <row r="2844" spans="1:9" hidden="1">
      <c r="A2844" s="1569"/>
      <c r="B2844" s="107"/>
      <c r="C2844" s="654"/>
      <c r="D2844" s="654"/>
      <c r="E2844" s="256"/>
      <c r="F2844" s="267"/>
      <c r="G2844" s="233"/>
      <c r="H2844" s="231">
        <f t="shared" si="88"/>
        <v>0</v>
      </c>
      <c r="I2844" s="231">
        <f t="shared" si="89"/>
        <v>0</v>
      </c>
    </row>
    <row r="2845" spans="1:9" hidden="1">
      <c r="A2845" s="1569"/>
      <c r="B2845" s="107"/>
      <c r="C2845" s="654"/>
      <c r="D2845" s="654"/>
      <c r="E2845" s="256"/>
      <c r="F2845" s="267"/>
      <c r="G2845" s="233"/>
      <c r="H2845" s="231">
        <f t="shared" si="88"/>
        <v>0</v>
      </c>
      <c r="I2845" s="231">
        <f t="shared" si="89"/>
        <v>0</v>
      </c>
    </row>
    <row r="2846" spans="1:9" hidden="1">
      <c r="A2846" s="1569"/>
      <c r="B2846" s="107"/>
      <c r="C2846" s="654"/>
      <c r="D2846" s="654"/>
      <c r="E2846" s="256"/>
      <c r="F2846" s="267"/>
      <c r="G2846" s="233"/>
      <c r="H2846" s="231">
        <f t="shared" si="88"/>
        <v>0</v>
      </c>
      <c r="I2846" s="231">
        <f t="shared" si="89"/>
        <v>0</v>
      </c>
    </row>
    <row r="2847" spans="1:9" hidden="1">
      <c r="A2847" s="1569"/>
      <c r="B2847" s="107"/>
      <c r="C2847" s="654"/>
      <c r="D2847" s="654"/>
      <c r="E2847" s="256"/>
      <c r="F2847" s="267"/>
      <c r="G2847" s="233"/>
      <c r="H2847" s="231">
        <f t="shared" si="88"/>
        <v>0</v>
      </c>
      <c r="I2847" s="231">
        <f t="shared" si="89"/>
        <v>0</v>
      </c>
    </row>
    <row r="2848" spans="1:9" hidden="1">
      <c r="A2848" s="1569"/>
      <c r="B2848" s="107"/>
      <c r="C2848" s="654"/>
      <c r="D2848" s="654"/>
      <c r="E2848" s="256"/>
      <c r="F2848" s="267"/>
      <c r="G2848" s="233"/>
      <c r="H2848" s="231">
        <f t="shared" si="88"/>
        <v>0</v>
      </c>
      <c r="I2848" s="231">
        <f t="shared" si="89"/>
        <v>0</v>
      </c>
    </row>
    <row r="2849" spans="1:12" hidden="1">
      <c r="A2849" s="1569"/>
      <c r="B2849" s="107"/>
      <c r="C2849" s="654"/>
      <c r="D2849" s="654"/>
      <c r="E2849" s="256"/>
      <c r="F2849" s="267"/>
      <c r="G2849" s="233"/>
      <c r="H2849" s="231">
        <f t="shared" si="88"/>
        <v>0</v>
      </c>
      <c r="I2849" s="231">
        <f t="shared" si="89"/>
        <v>0</v>
      </c>
    </row>
    <row r="2850" spans="1:12" hidden="1">
      <c r="A2850" s="1569"/>
      <c r="B2850" s="107"/>
      <c r="C2850" s="654"/>
      <c r="D2850" s="654"/>
      <c r="E2850" s="256"/>
      <c r="F2850" s="267"/>
      <c r="G2850" s="233"/>
      <c r="H2850" s="231">
        <f t="shared" si="88"/>
        <v>0</v>
      </c>
      <c r="I2850" s="231">
        <f t="shared" si="89"/>
        <v>0</v>
      </c>
    </row>
    <row r="2851" spans="1:12" hidden="1">
      <c r="A2851" s="1569"/>
      <c r="B2851" s="107"/>
      <c r="C2851" s="654"/>
      <c r="D2851" s="654"/>
      <c r="E2851" s="256"/>
      <c r="F2851" s="267"/>
      <c r="G2851" s="233"/>
      <c r="H2851" s="231">
        <f t="shared" si="88"/>
        <v>0</v>
      </c>
      <c r="I2851" s="231">
        <f t="shared" si="89"/>
        <v>0</v>
      </c>
    </row>
    <row r="2852" spans="1:12" hidden="1">
      <c r="A2852" s="1569"/>
      <c r="B2852" s="107"/>
      <c r="C2852" s="654"/>
      <c r="D2852" s="654"/>
      <c r="E2852" s="256"/>
      <c r="F2852" s="267"/>
      <c r="G2852" s="233"/>
      <c r="H2852" s="231">
        <f t="shared" si="88"/>
        <v>0</v>
      </c>
      <c r="I2852" s="231">
        <f t="shared" si="89"/>
        <v>0</v>
      </c>
    </row>
    <row r="2853" spans="1:12">
      <c r="A2853" s="1659"/>
      <c r="B2853" s="209" t="s">
        <v>985</v>
      </c>
      <c r="C2853" s="581">
        <f>SUM(C2819:C2852)</f>
        <v>304000</v>
      </c>
      <c r="D2853" s="581">
        <f>SUM(D2819:D2852)</f>
        <v>4000</v>
      </c>
      <c r="E2853" s="581">
        <f>SUM(E2819:E2852)</f>
        <v>300000</v>
      </c>
      <c r="F2853" s="267"/>
      <c r="G2853" s="233"/>
      <c r="H2853" s="1497">
        <f t="shared" si="88"/>
        <v>0</v>
      </c>
      <c r="I2853" s="1497">
        <f t="shared" si="89"/>
        <v>608000</v>
      </c>
      <c r="J2853" s="1440"/>
      <c r="K2853" s="1490"/>
      <c r="L2853" s="1490"/>
    </row>
    <row r="2854" spans="1:12" s="756" customFormat="1" ht="56.25">
      <c r="A2854" s="1568" t="s">
        <v>1101</v>
      </c>
      <c r="B2854" s="107" t="s">
        <v>1760</v>
      </c>
      <c r="C2854" s="817">
        <v>150000</v>
      </c>
      <c r="D2854" s="817">
        <v>150000</v>
      </c>
      <c r="E2854" s="184"/>
      <c r="F2854" s="803"/>
      <c r="G2854" s="804"/>
      <c r="H2854" s="1497">
        <f t="shared" si="88"/>
        <v>0</v>
      </c>
      <c r="I2854" s="1497">
        <f t="shared" si="89"/>
        <v>300000</v>
      </c>
      <c r="J2854" s="1440"/>
      <c r="K2854" s="1490"/>
      <c r="L2854" s="1490"/>
    </row>
    <row r="2855" spans="1:12" hidden="1">
      <c r="A2855" s="1569"/>
      <c r="B2855" s="821"/>
      <c r="C2855" s="851"/>
      <c r="D2855" s="851"/>
      <c r="E2855" s="852"/>
      <c r="F2855" s="267"/>
      <c r="G2855" s="233"/>
      <c r="H2855" s="231">
        <f t="shared" si="88"/>
        <v>0</v>
      </c>
      <c r="I2855" s="231">
        <f t="shared" si="89"/>
        <v>0</v>
      </c>
    </row>
    <row r="2856" spans="1:12" hidden="1">
      <c r="A2856" s="1569"/>
      <c r="B2856" s="385"/>
      <c r="C2856" s="638"/>
      <c r="D2856" s="638"/>
      <c r="E2856" s="639"/>
      <c r="F2856" s="267"/>
      <c r="G2856" s="233"/>
      <c r="H2856" s="231">
        <f t="shared" si="88"/>
        <v>0</v>
      </c>
      <c r="I2856" s="231">
        <f t="shared" si="89"/>
        <v>0</v>
      </c>
    </row>
    <row r="2857" spans="1:12" hidden="1">
      <c r="A2857" s="1569"/>
      <c r="B2857" s="385"/>
      <c r="C2857" s="638"/>
      <c r="D2857" s="638"/>
      <c r="E2857" s="639"/>
      <c r="F2857" s="267"/>
      <c r="G2857" s="233"/>
      <c r="H2857" s="231">
        <f t="shared" si="88"/>
        <v>0</v>
      </c>
      <c r="I2857" s="231">
        <f t="shared" si="89"/>
        <v>0</v>
      </c>
    </row>
    <row r="2858" spans="1:12" hidden="1">
      <c r="A2858" s="1569"/>
      <c r="B2858" s="385"/>
      <c r="C2858" s="638"/>
      <c r="D2858" s="638"/>
      <c r="E2858" s="639"/>
      <c r="F2858" s="267"/>
      <c r="G2858" s="233"/>
      <c r="H2858" s="231">
        <f t="shared" si="88"/>
        <v>0</v>
      </c>
      <c r="I2858" s="231">
        <f t="shared" si="89"/>
        <v>0</v>
      </c>
    </row>
    <row r="2859" spans="1:12" hidden="1">
      <c r="A2859" s="1569"/>
      <c r="B2859" s="399"/>
      <c r="C2859" s="663"/>
      <c r="D2859" s="663"/>
      <c r="E2859" s="663"/>
      <c r="F2859" s="267"/>
      <c r="G2859" s="233"/>
      <c r="H2859" s="231">
        <f t="shared" si="88"/>
        <v>0</v>
      </c>
      <c r="I2859" s="231">
        <f t="shared" si="89"/>
        <v>0</v>
      </c>
    </row>
    <row r="2860" spans="1:12" hidden="1">
      <c r="A2860" s="1569"/>
      <c r="B2860" s="399"/>
      <c r="C2860" s="734"/>
      <c r="D2860" s="734"/>
      <c r="E2860" s="663"/>
      <c r="F2860" s="267"/>
      <c r="G2860" s="233"/>
      <c r="H2860" s="231">
        <f t="shared" si="88"/>
        <v>0</v>
      </c>
      <c r="I2860" s="231">
        <f t="shared" si="89"/>
        <v>0</v>
      </c>
    </row>
    <row r="2861" spans="1:12" hidden="1">
      <c r="A2861" s="1569"/>
      <c r="B2861" s="399"/>
      <c r="C2861" s="663"/>
      <c r="D2861" s="663"/>
      <c r="E2861" s="663"/>
      <c r="F2861" s="267"/>
      <c r="G2861" s="233"/>
      <c r="H2861" s="231">
        <f t="shared" si="88"/>
        <v>0</v>
      </c>
      <c r="I2861" s="231">
        <f t="shared" si="89"/>
        <v>0</v>
      </c>
    </row>
    <row r="2862" spans="1:12" hidden="1">
      <c r="A2862" s="1569"/>
      <c r="B2862" s="116"/>
      <c r="C2862" s="679"/>
      <c r="D2862" s="679"/>
      <c r="E2862" s="654"/>
      <c r="F2862" s="267"/>
      <c r="G2862" s="233"/>
      <c r="H2862" s="231">
        <f t="shared" si="88"/>
        <v>0</v>
      </c>
      <c r="I2862" s="231">
        <f t="shared" si="89"/>
        <v>0</v>
      </c>
    </row>
    <row r="2863" spans="1:12" hidden="1">
      <c r="A2863" s="1569"/>
      <c r="B2863" s="107"/>
      <c r="C2863" s="654"/>
      <c r="D2863" s="654"/>
      <c r="E2863" s="654"/>
      <c r="F2863" s="267"/>
      <c r="G2863" s="233"/>
      <c r="H2863" s="231">
        <f t="shared" si="88"/>
        <v>0</v>
      </c>
      <c r="I2863" s="231">
        <f t="shared" si="89"/>
        <v>0</v>
      </c>
    </row>
    <row r="2864" spans="1:12" hidden="1">
      <c r="A2864" s="1569"/>
      <c r="B2864" s="107"/>
      <c r="C2864" s="654"/>
      <c r="D2864" s="654"/>
      <c r="E2864" s="256"/>
      <c r="F2864" s="267"/>
      <c r="G2864" s="233"/>
      <c r="H2864" s="231">
        <f t="shared" si="88"/>
        <v>0</v>
      </c>
      <c r="I2864" s="231">
        <f t="shared" si="89"/>
        <v>0</v>
      </c>
    </row>
    <row r="2865" spans="1:9" hidden="1">
      <c r="A2865" s="1569"/>
      <c r="B2865" s="107"/>
      <c r="C2865" s="654"/>
      <c r="D2865" s="654"/>
      <c r="E2865" s="256"/>
      <c r="F2865" s="267"/>
      <c r="G2865" s="233"/>
      <c r="H2865" s="231">
        <f t="shared" si="88"/>
        <v>0</v>
      </c>
      <c r="I2865" s="231">
        <f t="shared" si="89"/>
        <v>0</v>
      </c>
    </row>
    <row r="2866" spans="1:9" hidden="1">
      <c r="A2866" s="1569"/>
      <c r="B2866" s="107"/>
      <c r="C2866" s="654"/>
      <c r="D2866" s="654"/>
      <c r="E2866" s="256"/>
      <c r="F2866" s="267"/>
      <c r="G2866" s="233"/>
      <c r="H2866" s="231">
        <f t="shared" si="88"/>
        <v>0</v>
      </c>
      <c r="I2866" s="231">
        <f t="shared" si="89"/>
        <v>0</v>
      </c>
    </row>
    <row r="2867" spans="1:9" hidden="1">
      <c r="A2867" s="1569"/>
      <c r="B2867" s="107"/>
      <c r="C2867" s="654"/>
      <c r="D2867" s="654"/>
      <c r="E2867" s="256"/>
      <c r="F2867" s="267"/>
      <c r="G2867" s="233"/>
      <c r="H2867" s="231">
        <f t="shared" si="88"/>
        <v>0</v>
      </c>
      <c r="I2867" s="231">
        <f t="shared" si="89"/>
        <v>0</v>
      </c>
    </row>
    <row r="2868" spans="1:9" hidden="1">
      <c r="A2868" s="1569"/>
      <c r="B2868" s="116"/>
      <c r="C2868" s="679"/>
      <c r="D2868" s="679"/>
      <c r="E2868" s="256"/>
      <c r="F2868" s="267"/>
      <c r="G2868" s="233"/>
      <c r="H2868" s="231">
        <f t="shared" si="88"/>
        <v>0</v>
      </c>
      <c r="I2868" s="231">
        <f t="shared" si="89"/>
        <v>0</v>
      </c>
    </row>
    <row r="2869" spans="1:9" hidden="1">
      <c r="A2869" s="1569"/>
      <c r="B2869" s="107"/>
      <c r="C2869" s="654"/>
      <c r="D2869" s="654"/>
      <c r="E2869" s="256"/>
      <c r="F2869" s="267"/>
      <c r="G2869" s="233"/>
      <c r="H2869" s="231">
        <f t="shared" si="88"/>
        <v>0</v>
      </c>
      <c r="I2869" s="231">
        <f t="shared" si="89"/>
        <v>0</v>
      </c>
    </row>
    <row r="2870" spans="1:9" hidden="1">
      <c r="A2870" s="1569"/>
      <c r="B2870" s="107"/>
      <c r="C2870" s="654"/>
      <c r="D2870" s="654"/>
      <c r="E2870" s="256"/>
      <c r="F2870" s="267"/>
      <c r="G2870" s="233"/>
      <c r="H2870" s="231">
        <f t="shared" si="88"/>
        <v>0</v>
      </c>
      <c r="I2870" s="231">
        <f t="shared" si="89"/>
        <v>0</v>
      </c>
    </row>
    <row r="2871" spans="1:9" hidden="1">
      <c r="A2871" s="1569"/>
      <c r="B2871" s="107"/>
      <c r="C2871" s="654"/>
      <c r="D2871" s="654"/>
      <c r="E2871" s="256"/>
      <c r="F2871" s="267"/>
      <c r="G2871" s="233"/>
      <c r="H2871" s="231">
        <f t="shared" si="88"/>
        <v>0</v>
      </c>
      <c r="I2871" s="231">
        <f t="shared" si="89"/>
        <v>0</v>
      </c>
    </row>
    <row r="2872" spans="1:9" hidden="1">
      <c r="A2872" s="1569"/>
      <c r="B2872" s="107"/>
      <c r="C2872" s="654"/>
      <c r="D2872" s="654"/>
      <c r="E2872" s="256"/>
      <c r="F2872" s="267"/>
      <c r="G2872" s="233"/>
      <c r="H2872" s="231">
        <f t="shared" si="88"/>
        <v>0</v>
      </c>
      <c r="I2872" s="231">
        <f t="shared" si="89"/>
        <v>0</v>
      </c>
    </row>
    <row r="2873" spans="1:9" hidden="1">
      <c r="A2873" s="1569"/>
      <c r="B2873" s="107"/>
      <c r="C2873" s="654"/>
      <c r="D2873" s="654"/>
      <c r="E2873" s="256"/>
      <c r="F2873" s="267"/>
      <c r="G2873" s="233"/>
      <c r="H2873" s="231">
        <f t="shared" si="88"/>
        <v>0</v>
      </c>
      <c r="I2873" s="231">
        <f t="shared" si="89"/>
        <v>0</v>
      </c>
    </row>
    <row r="2874" spans="1:9" hidden="1">
      <c r="A2874" s="1569"/>
      <c r="B2874" s="107"/>
      <c r="C2874" s="654"/>
      <c r="D2874" s="654"/>
      <c r="E2874" s="256"/>
      <c r="F2874" s="267"/>
      <c r="G2874" s="233"/>
      <c r="H2874" s="231">
        <f t="shared" si="88"/>
        <v>0</v>
      </c>
      <c r="I2874" s="231">
        <f t="shared" si="89"/>
        <v>0</v>
      </c>
    </row>
    <row r="2875" spans="1:9" hidden="1">
      <c r="A2875" s="1569"/>
      <c r="B2875" s="107"/>
      <c r="C2875" s="654"/>
      <c r="D2875" s="654"/>
      <c r="E2875" s="256"/>
      <c r="F2875" s="267"/>
      <c r="G2875" s="233"/>
      <c r="H2875" s="231">
        <f t="shared" si="88"/>
        <v>0</v>
      </c>
      <c r="I2875" s="231">
        <f t="shared" si="89"/>
        <v>0</v>
      </c>
    </row>
    <row r="2876" spans="1:9" hidden="1">
      <c r="A2876" s="1569"/>
      <c r="B2876" s="107"/>
      <c r="C2876" s="654"/>
      <c r="D2876" s="654"/>
      <c r="E2876" s="256"/>
      <c r="F2876" s="267"/>
      <c r="G2876" s="233"/>
      <c r="H2876" s="231">
        <f t="shared" si="88"/>
        <v>0</v>
      </c>
      <c r="I2876" s="231">
        <f t="shared" si="89"/>
        <v>0</v>
      </c>
    </row>
    <row r="2877" spans="1:9" hidden="1">
      <c r="A2877" s="1569"/>
      <c r="B2877" s="107"/>
      <c r="C2877" s="654"/>
      <c r="D2877" s="654"/>
      <c r="E2877" s="256"/>
      <c r="F2877" s="267"/>
      <c r="G2877" s="233"/>
      <c r="H2877" s="231">
        <f t="shared" si="88"/>
        <v>0</v>
      </c>
      <c r="I2877" s="231">
        <f t="shared" si="89"/>
        <v>0</v>
      </c>
    </row>
    <row r="2878" spans="1:9" hidden="1">
      <c r="A2878" s="1569"/>
      <c r="B2878" s="107"/>
      <c r="C2878" s="654"/>
      <c r="D2878" s="654"/>
      <c r="E2878" s="256"/>
      <c r="F2878" s="267"/>
      <c r="G2878" s="233"/>
      <c r="H2878" s="231">
        <f t="shared" si="88"/>
        <v>0</v>
      </c>
      <c r="I2878" s="231">
        <f t="shared" si="89"/>
        <v>0</v>
      </c>
    </row>
    <row r="2879" spans="1:9" hidden="1">
      <c r="A2879" s="1569"/>
      <c r="B2879" s="107"/>
      <c r="C2879" s="654"/>
      <c r="D2879" s="654"/>
      <c r="E2879" s="256"/>
      <c r="F2879" s="267"/>
      <c r="G2879" s="233"/>
      <c r="H2879" s="231">
        <f t="shared" si="88"/>
        <v>0</v>
      </c>
      <c r="I2879" s="231">
        <f t="shared" si="89"/>
        <v>0</v>
      </c>
    </row>
    <row r="2880" spans="1:9" hidden="1">
      <c r="A2880" s="1569"/>
      <c r="B2880" s="107"/>
      <c r="C2880" s="654"/>
      <c r="D2880" s="654"/>
      <c r="E2880" s="256"/>
      <c r="F2880" s="267"/>
      <c r="G2880" s="233"/>
      <c r="H2880" s="231">
        <f t="shared" si="88"/>
        <v>0</v>
      </c>
      <c r="I2880" s="231">
        <f t="shared" si="89"/>
        <v>0</v>
      </c>
    </row>
    <row r="2881" spans="1:12" hidden="1">
      <c r="A2881" s="1569"/>
      <c r="B2881" s="107"/>
      <c r="C2881" s="654"/>
      <c r="D2881" s="654"/>
      <c r="E2881" s="256"/>
      <c r="F2881" s="267"/>
      <c r="G2881" s="233"/>
      <c r="H2881" s="231">
        <f t="shared" si="88"/>
        <v>0</v>
      </c>
      <c r="I2881" s="231">
        <f t="shared" si="89"/>
        <v>0</v>
      </c>
    </row>
    <row r="2882" spans="1:12" hidden="1">
      <c r="A2882" s="1569"/>
      <c r="B2882" s="107"/>
      <c r="C2882" s="654"/>
      <c r="D2882" s="654"/>
      <c r="E2882" s="256"/>
      <c r="F2882" s="267"/>
      <c r="G2882" s="233"/>
      <c r="H2882" s="231">
        <f t="shared" si="88"/>
        <v>0</v>
      </c>
      <c r="I2882" s="231">
        <f t="shared" si="89"/>
        <v>0</v>
      </c>
    </row>
    <row r="2883" spans="1:12" hidden="1">
      <c r="A2883" s="1569"/>
      <c r="B2883" s="107"/>
      <c r="C2883" s="654"/>
      <c r="D2883" s="654"/>
      <c r="E2883" s="256"/>
      <c r="F2883" s="267"/>
      <c r="G2883" s="233"/>
      <c r="H2883" s="231">
        <f t="shared" si="88"/>
        <v>0</v>
      </c>
      <c r="I2883" s="231">
        <f t="shared" si="89"/>
        <v>0</v>
      </c>
    </row>
    <row r="2884" spans="1:12" hidden="1">
      <c r="A2884" s="1569"/>
      <c r="B2884" s="107"/>
      <c r="C2884" s="654"/>
      <c r="D2884" s="654"/>
      <c r="E2884" s="256"/>
      <c r="F2884" s="267"/>
      <c r="G2884" s="233"/>
      <c r="H2884" s="231">
        <f t="shared" si="88"/>
        <v>0</v>
      </c>
      <c r="I2884" s="231">
        <f t="shared" si="89"/>
        <v>0</v>
      </c>
    </row>
    <row r="2885" spans="1:12" hidden="1">
      <c r="A2885" s="1569"/>
      <c r="B2885" s="107"/>
      <c r="C2885" s="654"/>
      <c r="D2885" s="654"/>
      <c r="E2885" s="256"/>
      <c r="F2885" s="267"/>
      <c r="G2885" s="233"/>
      <c r="H2885" s="231">
        <f t="shared" si="88"/>
        <v>0</v>
      </c>
      <c r="I2885" s="231">
        <f t="shared" si="89"/>
        <v>0</v>
      </c>
    </row>
    <row r="2886" spans="1:12" hidden="1">
      <c r="A2886" s="1569"/>
      <c r="B2886" s="107"/>
      <c r="C2886" s="654"/>
      <c r="D2886" s="654"/>
      <c r="E2886" s="256"/>
      <c r="F2886" s="267"/>
      <c r="G2886" s="233"/>
      <c r="H2886" s="231">
        <f t="shared" si="88"/>
        <v>0</v>
      </c>
      <c r="I2886" s="231">
        <f t="shared" si="89"/>
        <v>0</v>
      </c>
    </row>
    <row r="2887" spans="1:12" hidden="1">
      <c r="A2887" s="1569"/>
      <c r="B2887" s="107"/>
      <c r="C2887" s="654"/>
      <c r="D2887" s="654"/>
      <c r="E2887" s="256"/>
      <c r="F2887" s="267"/>
      <c r="G2887" s="233"/>
      <c r="H2887" s="231">
        <f t="shared" si="88"/>
        <v>0</v>
      </c>
      <c r="I2887" s="231">
        <f t="shared" si="89"/>
        <v>0</v>
      </c>
    </row>
    <row r="2888" spans="1:12">
      <c r="A2888" s="1659"/>
      <c r="B2888" s="209" t="s">
        <v>985</v>
      </c>
      <c r="C2888" s="735">
        <f>SUM(C2854:C2887)</f>
        <v>150000</v>
      </c>
      <c r="D2888" s="735">
        <f>SUM(D2854:D2887)</f>
        <v>150000</v>
      </c>
      <c r="E2888" s="735">
        <f>SUM(E2854:E2887)</f>
        <v>0</v>
      </c>
      <c r="F2888" s="267"/>
      <c r="G2888" s="233"/>
      <c r="H2888" s="1497">
        <f t="shared" si="88"/>
        <v>0</v>
      </c>
      <c r="I2888" s="1497">
        <f t="shared" si="89"/>
        <v>300000</v>
      </c>
      <c r="J2888" s="1440"/>
      <c r="K2888" s="1490"/>
      <c r="L2888" s="1490"/>
    </row>
    <row r="2889" spans="1:12" hidden="1">
      <c r="A2889" s="1568" t="s">
        <v>383</v>
      </c>
      <c r="B2889" s="480"/>
      <c r="C2889" s="590"/>
      <c r="D2889" s="590"/>
      <c r="E2889" s="590"/>
      <c r="F2889" s="267"/>
      <c r="G2889" s="233"/>
      <c r="H2889" s="231">
        <f t="shared" ref="H2889:H2952" si="90">E2889+D2889-C2889</f>
        <v>0</v>
      </c>
      <c r="I2889" s="231">
        <f t="shared" ref="I2889:I2952" si="91">SUM(C2889:E2889)</f>
        <v>0</v>
      </c>
    </row>
    <row r="2890" spans="1:12" hidden="1">
      <c r="A2890" s="1569"/>
      <c r="B2890" s="480"/>
      <c r="C2890" s="590"/>
      <c r="D2890" s="590"/>
      <c r="E2890" s="590"/>
      <c r="F2890" s="267"/>
      <c r="G2890" s="233"/>
      <c r="H2890" s="231">
        <f t="shared" si="90"/>
        <v>0</v>
      </c>
      <c r="I2890" s="231">
        <f t="shared" si="91"/>
        <v>0</v>
      </c>
    </row>
    <row r="2891" spans="1:12" hidden="1">
      <c r="A2891" s="1569"/>
      <c r="B2891" s="480"/>
      <c r="C2891" s="590"/>
      <c r="D2891" s="590"/>
      <c r="E2891" s="590"/>
      <c r="F2891" s="267"/>
      <c r="G2891" s="233"/>
      <c r="H2891" s="231">
        <f t="shared" si="90"/>
        <v>0</v>
      </c>
      <c r="I2891" s="231">
        <f t="shared" si="91"/>
        <v>0</v>
      </c>
    </row>
    <row r="2892" spans="1:12" hidden="1">
      <c r="A2892" s="1569"/>
      <c r="B2892" s="564"/>
      <c r="C2892" s="604"/>
      <c r="D2892" s="604"/>
      <c r="E2892" s="648"/>
      <c r="F2892" s="267"/>
      <c r="G2892" s="233"/>
      <c r="H2892" s="231">
        <f t="shared" si="90"/>
        <v>0</v>
      </c>
      <c r="I2892" s="231">
        <f t="shared" si="91"/>
        <v>0</v>
      </c>
    </row>
    <row r="2893" spans="1:12" hidden="1">
      <c r="A2893" s="1569"/>
      <c r="B2893" s="617"/>
      <c r="C2893" s="633"/>
      <c r="D2893" s="633"/>
      <c r="E2893" s="633"/>
      <c r="F2893" s="267"/>
      <c r="G2893" s="233"/>
      <c r="H2893" s="231">
        <f t="shared" si="90"/>
        <v>0</v>
      </c>
      <c r="I2893" s="231">
        <f t="shared" si="91"/>
        <v>0</v>
      </c>
    </row>
    <row r="2894" spans="1:12" hidden="1">
      <c r="A2894" s="1569"/>
      <c r="B2894" s="770"/>
      <c r="C2894" s="779"/>
      <c r="D2894" s="779"/>
      <c r="E2894" s="779"/>
      <c r="F2894" s="267"/>
      <c r="G2894" s="233"/>
      <c r="H2894" s="231">
        <f t="shared" si="90"/>
        <v>0</v>
      </c>
      <c r="I2894" s="231">
        <f t="shared" si="91"/>
        <v>0</v>
      </c>
    </row>
    <row r="2895" spans="1:12" hidden="1">
      <c r="A2895" s="1569"/>
      <c r="B2895" s="107"/>
      <c r="C2895" s="654"/>
      <c r="D2895" s="654"/>
      <c r="E2895" s="654"/>
      <c r="F2895" s="267"/>
      <c r="G2895" s="233"/>
      <c r="H2895" s="231">
        <f t="shared" si="90"/>
        <v>0</v>
      </c>
      <c r="I2895" s="231">
        <f t="shared" si="91"/>
        <v>0</v>
      </c>
    </row>
    <row r="2896" spans="1:12" hidden="1">
      <c r="A2896" s="1569"/>
      <c r="B2896" s="116"/>
      <c r="C2896" s="679"/>
      <c r="D2896" s="679"/>
      <c r="E2896" s="679"/>
      <c r="F2896" s="267"/>
      <c r="G2896" s="233"/>
      <c r="H2896" s="231">
        <f t="shared" si="90"/>
        <v>0</v>
      </c>
      <c r="I2896" s="231">
        <f t="shared" si="91"/>
        <v>0</v>
      </c>
    </row>
    <row r="2897" spans="1:9" hidden="1">
      <c r="A2897" s="1569"/>
      <c r="B2897" s="116"/>
      <c r="C2897" s="679"/>
      <c r="D2897" s="679"/>
      <c r="E2897" s="654"/>
      <c r="F2897" s="267"/>
      <c r="G2897" s="233"/>
      <c r="H2897" s="231">
        <f t="shared" si="90"/>
        <v>0</v>
      </c>
      <c r="I2897" s="231">
        <f t="shared" si="91"/>
        <v>0</v>
      </c>
    </row>
    <row r="2898" spans="1:9" hidden="1">
      <c r="A2898" s="1569"/>
      <c r="B2898" s="107"/>
      <c r="C2898" s="654"/>
      <c r="D2898" s="654"/>
      <c r="E2898" s="654"/>
      <c r="F2898" s="267"/>
      <c r="G2898" s="233"/>
      <c r="H2898" s="231">
        <f t="shared" si="90"/>
        <v>0</v>
      </c>
      <c r="I2898" s="231">
        <f t="shared" si="91"/>
        <v>0</v>
      </c>
    </row>
    <row r="2899" spans="1:9" hidden="1">
      <c r="A2899" s="1569"/>
      <c r="B2899" s="107"/>
      <c r="C2899" s="654"/>
      <c r="D2899" s="654"/>
      <c r="E2899" s="256"/>
      <c r="F2899" s="267"/>
      <c r="G2899" s="233"/>
      <c r="H2899" s="231">
        <f t="shared" si="90"/>
        <v>0</v>
      </c>
      <c r="I2899" s="231">
        <f t="shared" si="91"/>
        <v>0</v>
      </c>
    </row>
    <row r="2900" spans="1:9" hidden="1">
      <c r="A2900" s="1569"/>
      <c r="B2900" s="107"/>
      <c r="C2900" s="654"/>
      <c r="D2900" s="654"/>
      <c r="E2900" s="256"/>
      <c r="F2900" s="267"/>
      <c r="G2900" s="233"/>
      <c r="H2900" s="231">
        <f t="shared" si="90"/>
        <v>0</v>
      </c>
      <c r="I2900" s="231">
        <f t="shared" si="91"/>
        <v>0</v>
      </c>
    </row>
    <row r="2901" spans="1:9" hidden="1">
      <c r="A2901" s="1569"/>
      <c r="B2901" s="107"/>
      <c r="C2901" s="654"/>
      <c r="D2901" s="654"/>
      <c r="E2901" s="256"/>
      <c r="F2901" s="267"/>
      <c r="G2901" s="233"/>
      <c r="H2901" s="231">
        <f t="shared" si="90"/>
        <v>0</v>
      </c>
      <c r="I2901" s="231">
        <f t="shared" si="91"/>
        <v>0</v>
      </c>
    </row>
    <row r="2902" spans="1:9" hidden="1">
      <c r="A2902" s="1569"/>
      <c r="B2902" s="107"/>
      <c r="C2902" s="654"/>
      <c r="D2902" s="654"/>
      <c r="E2902" s="256"/>
      <c r="F2902" s="267"/>
      <c r="G2902" s="233"/>
      <c r="H2902" s="231">
        <f t="shared" si="90"/>
        <v>0</v>
      </c>
      <c r="I2902" s="231">
        <f t="shared" si="91"/>
        <v>0</v>
      </c>
    </row>
    <row r="2903" spans="1:9" hidden="1">
      <c r="A2903" s="1569"/>
      <c r="B2903" s="116"/>
      <c r="C2903" s="679"/>
      <c r="D2903" s="679"/>
      <c r="E2903" s="256"/>
      <c r="F2903" s="267"/>
      <c r="G2903" s="233"/>
      <c r="H2903" s="231">
        <f t="shared" si="90"/>
        <v>0</v>
      </c>
      <c r="I2903" s="231">
        <f t="shared" si="91"/>
        <v>0</v>
      </c>
    </row>
    <row r="2904" spans="1:9" hidden="1">
      <c r="A2904" s="1569"/>
      <c r="B2904" s="107"/>
      <c r="C2904" s="654"/>
      <c r="D2904" s="654"/>
      <c r="E2904" s="256"/>
      <c r="F2904" s="267"/>
      <c r="G2904" s="233"/>
      <c r="H2904" s="231">
        <f t="shared" si="90"/>
        <v>0</v>
      </c>
      <c r="I2904" s="231">
        <f t="shared" si="91"/>
        <v>0</v>
      </c>
    </row>
    <row r="2905" spans="1:9" hidden="1">
      <c r="A2905" s="1569"/>
      <c r="B2905" s="107"/>
      <c r="C2905" s="654"/>
      <c r="D2905" s="654"/>
      <c r="E2905" s="256"/>
      <c r="F2905" s="267"/>
      <c r="G2905" s="233"/>
      <c r="H2905" s="231">
        <f t="shared" si="90"/>
        <v>0</v>
      </c>
      <c r="I2905" s="231">
        <f t="shared" si="91"/>
        <v>0</v>
      </c>
    </row>
    <row r="2906" spans="1:9" hidden="1">
      <c r="A2906" s="1569"/>
      <c r="B2906" s="107"/>
      <c r="C2906" s="654"/>
      <c r="D2906" s="654"/>
      <c r="E2906" s="256"/>
      <c r="F2906" s="267"/>
      <c r="G2906" s="233"/>
      <c r="H2906" s="231">
        <f t="shared" si="90"/>
        <v>0</v>
      </c>
      <c r="I2906" s="231">
        <f t="shared" si="91"/>
        <v>0</v>
      </c>
    </row>
    <row r="2907" spans="1:9" hidden="1">
      <c r="A2907" s="1569"/>
      <c r="B2907" s="107"/>
      <c r="C2907" s="654"/>
      <c r="D2907" s="654"/>
      <c r="E2907" s="256"/>
      <c r="F2907" s="267"/>
      <c r="G2907" s="233"/>
      <c r="H2907" s="231">
        <f t="shared" si="90"/>
        <v>0</v>
      </c>
      <c r="I2907" s="231">
        <f t="shared" si="91"/>
        <v>0</v>
      </c>
    </row>
    <row r="2908" spans="1:9" hidden="1">
      <c r="A2908" s="1569"/>
      <c r="B2908" s="107"/>
      <c r="C2908" s="654"/>
      <c r="D2908" s="654"/>
      <c r="E2908" s="256"/>
      <c r="F2908" s="267"/>
      <c r="G2908" s="233"/>
      <c r="H2908" s="231">
        <f t="shared" si="90"/>
        <v>0</v>
      </c>
      <c r="I2908" s="231">
        <f t="shared" si="91"/>
        <v>0</v>
      </c>
    </row>
    <row r="2909" spans="1:9" hidden="1">
      <c r="A2909" s="1569"/>
      <c r="B2909" s="107"/>
      <c r="C2909" s="654"/>
      <c r="D2909" s="654"/>
      <c r="E2909" s="256"/>
      <c r="F2909" s="267"/>
      <c r="G2909" s="233"/>
      <c r="H2909" s="231">
        <f t="shared" si="90"/>
        <v>0</v>
      </c>
      <c r="I2909" s="231">
        <f t="shared" si="91"/>
        <v>0</v>
      </c>
    </row>
    <row r="2910" spans="1:9" hidden="1">
      <c r="A2910" s="1569"/>
      <c r="B2910" s="107"/>
      <c r="C2910" s="654"/>
      <c r="D2910" s="654"/>
      <c r="E2910" s="256"/>
      <c r="F2910" s="267"/>
      <c r="G2910" s="233"/>
      <c r="H2910" s="231">
        <f t="shared" si="90"/>
        <v>0</v>
      </c>
      <c r="I2910" s="231">
        <f t="shared" si="91"/>
        <v>0</v>
      </c>
    </row>
    <row r="2911" spans="1:9" hidden="1">
      <c r="A2911" s="1569"/>
      <c r="B2911" s="107"/>
      <c r="C2911" s="654"/>
      <c r="D2911" s="654"/>
      <c r="E2911" s="256"/>
      <c r="F2911" s="267"/>
      <c r="G2911" s="233"/>
      <c r="H2911" s="231">
        <f t="shared" si="90"/>
        <v>0</v>
      </c>
      <c r="I2911" s="231">
        <f t="shared" si="91"/>
        <v>0</v>
      </c>
    </row>
    <row r="2912" spans="1:9" hidden="1">
      <c r="A2912" s="1569"/>
      <c r="B2912" s="107"/>
      <c r="C2912" s="654"/>
      <c r="D2912" s="654"/>
      <c r="E2912" s="256"/>
      <c r="F2912" s="267"/>
      <c r="G2912" s="233"/>
      <c r="H2912" s="231">
        <f t="shared" si="90"/>
        <v>0</v>
      </c>
      <c r="I2912" s="231">
        <f t="shared" si="91"/>
        <v>0</v>
      </c>
    </row>
    <row r="2913" spans="1:12" hidden="1">
      <c r="A2913" s="1569"/>
      <c r="B2913" s="107"/>
      <c r="C2913" s="654"/>
      <c r="D2913" s="654"/>
      <c r="E2913" s="256"/>
      <c r="F2913" s="267"/>
      <c r="G2913" s="233"/>
      <c r="H2913" s="231">
        <f t="shared" si="90"/>
        <v>0</v>
      </c>
      <c r="I2913" s="231">
        <f t="shared" si="91"/>
        <v>0</v>
      </c>
    </row>
    <row r="2914" spans="1:12" hidden="1">
      <c r="A2914" s="1569"/>
      <c r="B2914" s="107"/>
      <c r="C2914" s="654"/>
      <c r="D2914" s="654"/>
      <c r="E2914" s="256"/>
      <c r="F2914" s="267"/>
      <c r="G2914" s="233"/>
      <c r="H2914" s="231">
        <f t="shared" si="90"/>
        <v>0</v>
      </c>
      <c r="I2914" s="231">
        <f t="shared" si="91"/>
        <v>0</v>
      </c>
    </row>
    <row r="2915" spans="1:12" hidden="1">
      <c r="A2915" s="1569"/>
      <c r="B2915" s="107"/>
      <c r="C2915" s="654"/>
      <c r="D2915" s="654"/>
      <c r="E2915" s="256"/>
      <c r="F2915" s="267"/>
      <c r="G2915" s="233"/>
      <c r="H2915" s="231">
        <f t="shared" si="90"/>
        <v>0</v>
      </c>
      <c r="I2915" s="231">
        <f t="shared" si="91"/>
        <v>0</v>
      </c>
    </row>
    <row r="2916" spans="1:12" hidden="1">
      <c r="A2916" s="1569"/>
      <c r="B2916" s="107"/>
      <c r="C2916" s="654"/>
      <c r="D2916" s="654"/>
      <c r="E2916" s="256"/>
      <c r="F2916" s="267"/>
      <c r="G2916" s="233"/>
      <c r="H2916" s="231">
        <f t="shared" si="90"/>
        <v>0</v>
      </c>
      <c r="I2916" s="231">
        <f t="shared" si="91"/>
        <v>0</v>
      </c>
    </row>
    <row r="2917" spans="1:12" hidden="1">
      <c r="A2917" s="1569"/>
      <c r="B2917" s="107"/>
      <c r="C2917" s="654"/>
      <c r="D2917" s="654"/>
      <c r="E2917" s="256"/>
      <c r="F2917" s="267"/>
      <c r="G2917" s="233"/>
      <c r="H2917" s="231">
        <f t="shared" si="90"/>
        <v>0</v>
      </c>
      <c r="I2917" s="231">
        <f t="shared" si="91"/>
        <v>0</v>
      </c>
    </row>
    <row r="2918" spans="1:12" hidden="1">
      <c r="A2918" s="1569"/>
      <c r="B2918" s="107"/>
      <c r="C2918" s="654"/>
      <c r="D2918" s="654"/>
      <c r="E2918" s="256"/>
      <c r="F2918" s="267"/>
      <c r="G2918" s="233"/>
      <c r="H2918" s="231">
        <f t="shared" si="90"/>
        <v>0</v>
      </c>
      <c r="I2918" s="231">
        <f t="shared" si="91"/>
        <v>0</v>
      </c>
    </row>
    <row r="2919" spans="1:12" hidden="1">
      <c r="A2919" s="1569"/>
      <c r="B2919" s="107"/>
      <c r="C2919" s="654"/>
      <c r="D2919" s="654"/>
      <c r="E2919" s="256"/>
      <c r="F2919" s="267"/>
      <c r="G2919" s="233"/>
      <c r="H2919" s="231">
        <f t="shared" si="90"/>
        <v>0</v>
      </c>
      <c r="I2919" s="231">
        <f t="shared" si="91"/>
        <v>0</v>
      </c>
    </row>
    <row r="2920" spans="1:12" hidden="1">
      <c r="A2920" s="1569"/>
      <c r="B2920" s="107"/>
      <c r="C2920" s="654"/>
      <c r="D2920" s="654"/>
      <c r="E2920" s="256"/>
      <c r="F2920" s="267"/>
      <c r="G2920" s="233"/>
      <c r="H2920" s="231">
        <f t="shared" si="90"/>
        <v>0</v>
      </c>
      <c r="I2920" s="231">
        <f t="shared" si="91"/>
        <v>0</v>
      </c>
    </row>
    <row r="2921" spans="1:12" hidden="1">
      <c r="A2921" s="1569"/>
      <c r="B2921" s="107"/>
      <c r="C2921" s="654"/>
      <c r="D2921" s="654"/>
      <c r="E2921" s="256"/>
      <c r="F2921" s="267"/>
      <c r="G2921" s="233"/>
      <c r="H2921" s="231">
        <f t="shared" si="90"/>
        <v>0</v>
      </c>
      <c r="I2921" s="231">
        <f t="shared" si="91"/>
        <v>0</v>
      </c>
    </row>
    <row r="2922" spans="1:12" hidden="1">
      <c r="A2922" s="1569"/>
      <c r="B2922" s="107"/>
      <c r="C2922" s="654"/>
      <c r="D2922" s="654"/>
      <c r="E2922" s="256"/>
      <c r="F2922" s="267"/>
      <c r="G2922" s="233"/>
      <c r="H2922" s="231">
        <f t="shared" si="90"/>
        <v>0</v>
      </c>
      <c r="I2922" s="231">
        <f t="shared" si="91"/>
        <v>0</v>
      </c>
    </row>
    <row r="2923" spans="1:12" hidden="1">
      <c r="A2923" s="1659"/>
      <c r="B2923" s="209" t="s">
        <v>985</v>
      </c>
      <c r="C2923" s="581">
        <f>SUM(C2889:C2922)</f>
        <v>0</v>
      </c>
      <c r="D2923" s="581">
        <f>SUM(D2889:D2922)</f>
        <v>0</v>
      </c>
      <c r="E2923" s="581">
        <f>SUM(E2889:E2922)</f>
        <v>0</v>
      </c>
      <c r="F2923" s="267"/>
      <c r="G2923" s="233"/>
      <c r="H2923" s="231">
        <f t="shared" si="90"/>
        <v>0</v>
      </c>
      <c r="I2923" s="231">
        <f t="shared" si="91"/>
        <v>0</v>
      </c>
    </row>
    <row r="2924" spans="1:12" ht="112.5">
      <c r="A2924" s="1568" t="s">
        <v>1103</v>
      </c>
      <c r="B2924" s="107" t="s">
        <v>773</v>
      </c>
      <c r="C2924" s="589">
        <v>100000</v>
      </c>
      <c r="D2924" s="589"/>
      <c r="E2924" s="785">
        <v>100000</v>
      </c>
      <c r="F2924" s="267"/>
      <c r="G2924" s="233"/>
      <c r="H2924" s="1497">
        <f t="shared" si="90"/>
        <v>0</v>
      </c>
      <c r="I2924" s="1497">
        <f t="shared" si="91"/>
        <v>200000</v>
      </c>
      <c r="J2924" s="1440"/>
      <c r="K2924" s="1490"/>
      <c r="L2924" s="1490"/>
    </row>
    <row r="2925" spans="1:12" ht="93.75">
      <c r="A2925" s="1569"/>
      <c r="B2925" s="1231" t="s">
        <v>1761</v>
      </c>
      <c r="C2925" s="817">
        <v>18000</v>
      </c>
      <c r="D2925" s="817">
        <v>18000</v>
      </c>
      <c r="E2925" s="184"/>
      <c r="F2925" s="267"/>
      <c r="G2925" s="233"/>
      <c r="H2925" s="1497">
        <f t="shared" si="90"/>
        <v>0</v>
      </c>
      <c r="I2925" s="1497">
        <f t="shared" si="91"/>
        <v>36000</v>
      </c>
      <c r="J2925" s="1440"/>
      <c r="K2925" s="1490"/>
      <c r="L2925" s="1490"/>
    </row>
    <row r="2926" spans="1:12" ht="37.5">
      <c r="A2926" s="1569"/>
      <c r="B2926" s="425" t="s">
        <v>1762</v>
      </c>
      <c r="C2926" s="817">
        <v>30000</v>
      </c>
      <c r="D2926" s="817">
        <v>30000</v>
      </c>
      <c r="E2926" s="184"/>
      <c r="F2926" s="232"/>
      <c r="G2926" s="232"/>
      <c r="H2926" s="1497">
        <f t="shared" si="90"/>
        <v>0</v>
      </c>
      <c r="I2926" s="1497">
        <f t="shared" si="91"/>
        <v>60000</v>
      </c>
      <c r="J2926" s="1440"/>
      <c r="K2926" s="1490"/>
      <c r="L2926" s="1490"/>
    </row>
    <row r="2927" spans="1:12" ht="37.5">
      <c r="A2927" s="1569"/>
      <c r="B2927" s="425" t="s">
        <v>1763</v>
      </c>
      <c r="C2927" s="817">
        <v>25000</v>
      </c>
      <c r="D2927" s="817">
        <v>25000</v>
      </c>
      <c r="E2927" s="184"/>
      <c r="F2927" s="267"/>
      <c r="G2927" s="233"/>
      <c r="H2927" s="1497">
        <f t="shared" si="90"/>
        <v>0</v>
      </c>
      <c r="I2927" s="1497">
        <f t="shared" si="91"/>
        <v>50000</v>
      </c>
      <c r="J2927" s="1440"/>
      <c r="K2927" s="1490"/>
      <c r="L2927" s="1490"/>
    </row>
    <row r="2928" spans="1:12" ht="37.5">
      <c r="A2928" s="1569"/>
      <c r="B2928" s="425" t="s">
        <v>1764</v>
      </c>
      <c r="C2928" s="817">
        <v>20000</v>
      </c>
      <c r="D2928" s="817"/>
      <c r="E2928" s="184">
        <v>20000</v>
      </c>
      <c r="F2928" s="267"/>
      <c r="G2928" s="233"/>
      <c r="H2928" s="1497">
        <f t="shared" si="90"/>
        <v>0</v>
      </c>
      <c r="I2928" s="1497">
        <f t="shared" si="91"/>
        <v>40000</v>
      </c>
      <c r="J2928" s="1440"/>
      <c r="K2928" s="1490"/>
      <c r="L2928" s="1490"/>
    </row>
    <row r="2929" spans="1:12" ht="56.25">
      <c r="A2929" s="1569"/>
      <c r="B2929" s="425" t="s">
        <v>1765</v>
      </c>
      <c r="C2929" s="817">
        <v>20000</v>
      </c>
      <c r="D2929" s="817"/>
      <c r="E2929" s="184">
        <v>20000</v>
      </c>
      <c r="F2929" s="267"/>
      <c r="G2929" s="233"/>
      <c r="H2929" s="1497">
        <f t="shared" si="90"/>
        <v>0</v>
      </c>
      <c r="I2929" s="1497">
        <f t="shared" si="91"/>
        <v>40000</v>
      </c>
      <c r="J2929" s="1440"/>
      <c r="K2929" s="1490"/>
      <c r="L2929" s="1490"/>
    </row>
    <row r="2930" spans="1:12" ht="56.25">
      <c r="A2930" s="1569"/>
      <c r="B2930" s="821" t="s">
        <v>2148</v>
      </c>
      <c r="C2930" s="649">
        <v>100000</v>
      </c>
      <c r="D2930" s="649">
        <v>100000</v>
      </c>
      <c r="E2930" s="256"/>
      <c r="F2930" s="267"/>
      <c r="G2930" s="233"/>
      <c r="H2930" s="1497">
        <f t="shared" si="90"/>
        <v>0</v>
      </c>
      <c r="I2930" s="1497">
        <f t="shared" si="91"/>
        <v>200000</v>
      </c>
      <c r="J2930" s="1440"/>
      <c r="K2930" s="1490"/>
      <c r="L2930" s="1490"/>
    </row>
    <row r="2931" spans="1:12" hidden="1">
      <c r="A2931" s="1569"/>
      <c r="B2931" s="107"/>
      <c r="C2931" s="649"/>
      <c r="D2931" s="649"/>
      <c r="E2931" s="256"/>
      <c r="F2931" s="267"/>
      <c r="G2931" s="233"/>
      <c r="H2931" s="231">
        <f t="shared" si="90"/>
        <v>0</v>
      </c>
      <c r="I2931" s="231">
        <f t="shared" si="91"/>
        <v>0</v>
      </c>
    </row>
    <row r="2932" spans="1:12" hidden="1">
      <c r="A2932" s="1569"/>
      <c r="B2932" s="770"/>
      <c r="C2932" s="771"/>
      <c r="D2932" s="771"/>
      <c r="E2932" s="772"/>
      <c r="F2932" s="267"/>
      <c r="G2932" s="233"/>
      <c r="H2932" s="231">
        <f t="shared" si="90"/>
        <v>0</v>
      </c>
      <c r="I2932" s="231">
        <f t="shared" si="91"/>
        <v>0</v>
      </c>
    </row>
    <row r="2933" spans="1:12" hidden="1">
      <c r="A2933" s="1569"/>
      <c r="B2933" s="371"/>
      <c r="C2933" s="850"/>
      <c r="D2933" s="850"/>
      <c r="E2933" s="844"/>
      <c r="F2933" s="267"/>
      <c r="G2933" s="233"/>
      <c r="H2933" s="231">
        <f t="shared" si="90"/>
        <v>0</v>
      </c>
      <c r="I2933" s="231">
        <f t="shared" si="91"/>
        <v>0</v>
      </c>
    </row>
    <row r="2934" spans="1:12" hidden="1">
      <c r="A2934" s="1569"/>
      <c r="B2934" s="870"/>
      <c r="C2934" s="846"/>
      <c r="D2934" s="876"/>
      <c r="E2934" s="848"/>
      <c r="F2934" s="267"/>
      <c r="G2934" s="233"/>
      <c r="H2934" s="231">
        <f t="shared" si="90"/>
        <v>0</v>
      </c>
      <c r="I2934" s="231">
        <f t="shared" si="91"/>
        <v>0</v>
      </c>
    </row>
    <row r="2935" spans="1:12" hidden="1">
      <c r="A2935" s="1569"/>
      <c r="B2935" s="870"/>
      <c r="C2935" s="846"/>
      <c r="D2935" s="876"/>
      <c r="E2935" s="848"/>
      <c r="F2935" s="267"/>
      <c r="G2935" s="233"/>
      <c r="H2935" s="231">
        <f t="shared" si="90"/>
        <v>0</v>
      </c>
      <c r="I2935" s="231">
        <f t="shared" si="91"/>
        <v>0</v>
      </c>
    </row>
    <row r="2936" spans="1:12" hidden="1">
      <c r="A2936" s="1569"/>
      <c r="B2936" s="371"/>
      <c r="C2936" s="846"/>
      <c r="D2936" s="847"/>
      <c r="E2936" s="848"/>
      <c r="F2936" s="267"/>
      <c r="G2936" s="233"/>
      <c r="H2936" s="231">
        <f t="shared" si="90"/>
        <v>0</v>
      </c>
      <c r="I2936" s="231">
        <f t="shared" si="91"/>
        <v>0</v>
      </c>
    </row>
    <row r="2937" spans="1:12" hidden="1">
      <c r="A2937" s="1569"/>
      <c r="B2937" s="107"/>
      <c r="C2937" s="654"/>
      <c r="D2937" s="654"/>
      <c r="E2937" s="256"/>
      <c r="F2937" s="267"/>
      <c r="G2937" s="233"/>
      <c r="H2937" s="231">
        <f t="shared" si="90"/>
        <v>0</v>
      </c>
      <c r="I2937" s="231">
        <f t="shared" si="91"/>
        <v>0</v>
      </c>
    </row>
    <row r="2938" spans="1:12" hidden="1">
      <c r="A2938" s="1569"/>
      <c r="B2938" s="116"/>
      <c r="C2938" s="679"/>
      <c r="D2938" s="679"/>
      <c r="E2938" s="256"/>
      <c r="F2938" s="267"/>
      <c r="G2938" s="233"/>
      <c r="H2938" s="231">
        <f t="shared" si="90"/>
        <v>0</v>
      </c>
      <c r="I2938" s="231">
        <f t="shared" si="91"/>
        <v>0</v>
      </c>
    </row>
    <row r="2939" spans="1:12" hidden="1">
      <c r="A2939" s="1569"/>
      <c r="B2939" s="107"/>
      <c r="C2939" s="654"/>
      <c r="D2939" s="654"/>
      <c r="E2939" s="256"/>
      <c r="F2939" s="267"/>
      <c r="G2939" s="233"/>
      <c r="H2939" s="231">
        <f t="shared" si="90"/>
        <v>0</v>
      </c>
      <c r="I2939" s="231">
        <f t="shared" si="91"/>
        <v>0</v>
      </c>
    </row>
    <row r="2940" spans="1:12" hidden="1">
      <c r="A2940" s="1569"/>
      <c r="B2940" s="107"/>
      <c r="C2940" s="654"/>
      <c r="D2940" s="654"/>
      <c r="E2940" s="256"/>
      <c r="F2940" s="267"/>
      <c r="G2940" s="233"/>
      <c r="H2940" s="231">
        <f t="shared" si="90"/>
        <v>0</v>
      </c>
      <c r="I2940" s="231">
        <f t="shared" si="91"/>
        <v>0</v>
      </c>
    </row>
    <row r="2941" spans="1:12" hidden="1">
      <c r="A2941" s="1569"/>
      <c r="B2941" s="107"/>
      <c r="C2941" s="654"/>
      <c r="D2941" s="654"/>
      <c r="E2941" s="256"/>
      <c r="F2941" s="267"/>
      <c r="G2941" s="233"/>
      <c r="H2941" s="231">
        <f t="shared" si="90"/>
        <v>0</v>
      </c>
      <c r="I2941" s="231">
        <f t="shared" si="91"/>
        <v>0</v>
      </c>
    </row>
    <row r="2942" spans="1:12" hidden="1">
      <c r="A2942" s="1569"/>
      <c r="B2942" s="107"/>
      <c r="C2942" s="654"/>
      <c r="D2942" s="654"/>
      <c r="E2942" s="256"/>
      <c r="F2942" s="267"/>
      <c r="G2942" s="233"/>
      <c r="H2942" s="231">
        <f t="shared" si="90"/>
        <v>0</v>
      </c>
      <c r="I2942" s="231">
        <f t="shared" si="91"/>
        <v>0</v>
      </c>
    </row>
    <row r="2943" spans="1:12" hidden="1">
      <c r="A2943" s="1569"/>
      <c r="B2943" s="107"/>
      <c r="C2943" s="654"/>
      <c r="D2943" s="654"/>
      <c r="E2943" s="256"/>
      <c r="F2943" s="267"/>
      <c r="G2943" s="233"/>
      <c r="H2943" s="231">
        <f t="shared" si="90"/>
        <v>0</v>
      </c>
      <c r="I2943" s="231">
        <f t="shared" si="91"/>
        <v>0</v>
      </c>
    </row>
    <row r="2944" spans="1:12" hidden="1">
      <c r="A2944" s="1569"/>
      <c r="B2944" s="107"/>
      <c r="C2944" s="654"/>
      <c r="D2944" s="654"/>
      <c r="E2944" s="256"/>
      <c r="F2944" s="267"/>
      <c r="G2944" s="233"/>
      <c r="H2944" s="231">
        <f t="shared" si="90"/>
        <v>0</v>
      </c>
      <c r="I2944" s="231">
        <f t="shared" si="91"/>
        <v>0</v>
      </c>
    </row>
    <row r="2945" spans="1:12" hidden="1">
      <c r="A2945" s="1569"/>
      <c r="B2945" s="107"/>
      <c r="C2945" s="654"/>
      <c r="D2945" s="654"/>
      <c r="E2945" s="256"/>
      <c r="F2945" s="267"/>
      <c r="G2945" s="233"/>
      <c r="H2945" s="231">
        <f t="shared" si="90"/>
        <v>0</v>
      </c>
      <c r="I2945" s="231">
        <f t="shared" si="91"/>
        <v>0</v>
      </c>
    </row>
    <row r="2946" spans="1:12" hidden="1">
      <c r="A2946" s="1569"/>
      <c r="B2946" s="107"/>
      <c r="C2946" s="654"/>
      <c r="D2946" s="654"/>
      <c r="E2946" s="256"/>
      <c r="F2946" s="267"/>
      <c r="G2946" s="233"/>
      <c r="H2946" s="231">
        <f t="shared" si="90"/>
        <v>0</v>
      </c>
      <c r="I2946" s="231">
        <f t="shared" si="91"/>
        <v>0</v>
      </c>
    </row>
    <row r="2947" spans="1:12" hidden="1">
      <c r="A2947" s="1569"/>
      <c r="B2947" s="107"/>
      <c r="C2947" s="654"/>
      <c r="D2947" s="654"/>
      <c r="E2947" s="256"/>
      <c r="F2947" s="267"/>
      <c r="G2947" s="233"/>
      <c r="H2947" s="231">
        <f t="shared" si="90"/>
        <v>0</v>
      </c>
      <c r="I2947" s="231">
        <f t="shared" si="91"/>
        <v>0</v>
      </c>
    </row>
    <row r="2948" spans="1:12" hidden="1">
      <c r="A2948" s="1569"/>
      <c r="B2948" s="107"/>
      <c r="C2948" s="654"/>
      <c r="D2948" s="654"/>
      <c r="E2948" s="256"/>
      <c r="F2948" s="267"/>
      <c r="G2948" s="233"/>
      <c r="H2948" s="231">
        <f t="shared" si="90"/>
        <v>0</v>
      </c>
      <c r="I2948" s="231">
        <f t="shared" si="91"/>
        <v>0</v>
      </c>
    </row>
    <row r="2949" spans="1:12" hidden="1">
      <c r="A2949" s="1569"/>
      <c r="B2949" s="107"/>
      <c r="C2949" s="654"/>
      <c r="D2949" s="654"/>
      <c r="E2949" s="256"/>
      <c r="F2949" s="267"/>
      <c r="G2949" s="233"/>
      <c r="H2949" s="231">
        <f t="shared" si="90"/>
        <v>0</v>
      </c>
      <c r="I2949" s="231">
        <f t="shared" si="91"/>
        <v>0</v>
      </c>
    </row>
    <row r="2950" spans="1:12" hidden="1">
      <c r="A2950" s="1569"/>
      <c r="B2950" s="107"/>
      <c r="C2950" s="654"/>
      <c r="D2950" s="654"/>
      <c r="E2950" s="256"/>
      <c r="F2950" s="267"/>
      <c r="G2950" s="233"/>
      <c r="H2950" s="231">
        <f t="shared" si="90"/>
        <v>0</v>
      </c>
      <c r="I2950" s="231">
        <f t="shared" si="91"/>
        <v>0</v>
      </c>
    </row>
    <row r="2951" spans="1:12" hidden="1">
      <c r="A2951" s="1569"/>
      <c r="B2951" s="107"/>
      <c r="C2951" s="654"/>
      <c r="D2951" s="654"/>
      <c r="E2951" s="256"/>
      <c r="F2951" s="267"/>
      <c r="G2951" s="233"/>
      <c r="H2951" s="231">
        <f t="shared" si="90"/>
        <v>0</v>
      </c>
      <c r="I2951" s="231">
        <f t="shared" si="91"/>
        <v>0</v>
      </c>
    </row>
    <row r="2952" spans="1:12" hidden="1">
      <c r="A2952" s="1569"/>
      <c r="B2952" s="107"/>
      <c r="C2952" s="654"/>
      <c r="D2952" s="654"/>
      <c r="E2952" s="256"/>
      <c r="F2952" s="267"/>
      <c r="G2952" s="233"/>
      <c r="H2952" s="231">
        <f t="shared" si="90"/>
        <v>0</v>
      </c>
      <c r="I2952" s="231">
        <f t="shared" si="91"/>
        <v>0</v>
      </c>
    </row>
    <row r="2953" spans="1:12" hidden="1">
      <c r="A2953" s="1569"/>
      <c r="B2953" s="107"/>
      <c r="C2953" s="654"/>
      <c r="D2953" s="654"/>
      <c r="E2953" s="256"/>
      <c r="F2953" s="267"/>
      <c r="G2953" s="233"/>
      <c r="H2953" s="231">
        <f t="shared" ref="H2953:H3016" si="92">E2953+D2953-C2953</f>
        <v>0</v>
      </c>
      <c r="I2953" s="231">
        <f t="shared" ref="I2953:I3016" si="93">SUM(C2953:E2953)</f>
        <v>0</v>
      </c>
    </row>
    <row r="2954" spans="1:12" hidden="1">
      <c r="A2954" s="1569"/>
      <c r="B2954" s="107"/>
      <c r="C2954" s="654"/>
      <c r="D2954" s="654"/>
      <c r="E2954" s="256"/>
      <c r="F2954" s="267"/>
      <c r="G2954" s="233"/>
      <c r="H2954" s="231">
        <f t="shared" si="92"/>
        <v>0</v>
      </c>
      <c r="I2954" s="231">
        <f t="shared" si="93"/>
        <v>0</v>
      </c>
    </row>
    <row r="2955" spans="1:12" hidden="1">
      <c r="A2955" s="1569"/>
      <c r="B2955" s="107"/>
      <c r="C2955" s="654"/>
      <c r="D2955" s="654"/>
      <c r="E2955" s="256"/>
      <c r="F2955" s="267"/>
      <c r="G2955" s="233"/>
      <c r="H2955" s="231">
        <f t="shared" si="92"/>
        <v>0</v>
      </c>
      <c r="I2955" s="231">
        <f t="shared" si="93"/>
        <v>0</v>
      </c>
    </row>
    <row r="2956" spans="1:12" hidden="1">
      <c r="A2956" s="1569"/>
      <c r="B2956" s="107"/>
      <c r="C2956" s="654"/>
      <c r="D2956" s="654"/>
      <c r="E2956" s="256"/>
      <c r="F2956" s="267"/>
      <c r="G2956" s="233"/>
      <c r="H2956" s="231">
        <f t="shared" si="92"/>
        <v>0</v>
      </c>
      <c r="I2956" s="231">
        <f t="shared" si="93"/>
        <v>0</v>
      </c>
    </row>
    <row r="2957" spans="1:12" hidden="1">
      <c r="A2957" s="1569"/>
      <c r="B2957" s="107"/>
      <c r="C2957" s="654"/>
      <c r="D2957" s="654"/>
      <c r="E2957" s="256"/>
      <c r="F2957" s="267"/>
      <c r="G2957" s="233"/>
      <c r="H2957" s="231">
        <f t="shared" si="92"/>
        <v>0</v>
      </c>
      <c r="I2957" s="231">
        <f t="shared" si="93"/>
        <v>0</v>
      </c>
    </row>
    <row r="2958" spans="1:12">
      <c r="A2958" s="1659"/>
      <c r="B2958" s="209" t="s">
        <v>985</v>
      </c>
      <c r="C2958" s="581">
        <f>SUM(C2924:C2957)</f>
        <v>313000</v>
      </c>
      <c r="D2958" s="581">
        <f>SUM(D2924:D2957)</f>
        <v>173000</v>
      </c>
      <c r="E2958" s="581">
        <f>SUM(E2924:E2957)</f>
        <v>140000</v>
      </c>
      <c r="F2958" s="267"/>
      <c r="G2958" s="233"/>
      <c r="H2958" s="1497">
        <f t="shared" si="92"/>
        <v>0</v>
      </c>
      <c r="I2958" s="1497">
        <f t="shared" si="93"/>
        <v>626000</v>
      </c>
      <c r="J2958" s="1440"/>
      <c r="K2958" s="1490"/>
      <c r="L2958" s="1490"/>
    </row>
    <row r="2959" spans="1:12" ht="112.5" hidden="1">
      <c r="A2959" s="1568" t="s">
        <v>1104</v>
      </c>
      <c r="B2959" s="107" t="s">
        <v>773</v>
      </c>
      <c r="C2959" s="589"/>
      <c r="D2959" s="589"/>
      <c r="E2959" s="510"/>
      <c r="F2959" s="267"/>
      <c r="G2959" s="233"/>
      <c r="H2959" s="231">
        <f t="shared" si="92"/>
        <v>0</v>
      </c>
      <c r="I2959" s="231">
        <f t="shared" si="93"/>
        <v>0</v>
      </c>
    </row>
    <row r="2960" spans="1:12" ht="37.5">
      <c r="A2960" s="1569"/>
      <c r="B2960" s="1215" t="s">
        <v>1404</v>
      </c>
      <c r="C2960" s="1214">
        <v>10000</v>
      </c>
      <c r="D2960" s="256"/>
      <c r="E2960" s="256">
        <v>10000</v>
      </c>
      <c r="F2960" s="267"/>
      <c r="G2960" s="233"/>
      <c r="H2960" s="1497">
        <f t="shared" si="92"/>
        <v>0</v>
      </c>
      <c r="I2960" s="1497">
        <f t="shared" si="93"/>
        <v>20000</v>
      </c>
      <c r="J2960" s="1440"/>
      <c r="K2960" s="1490"/>
      <c r="L2960" s="1490"/>
    </row>
    <row r="2961" spans="1:12" ht="112.5">
      <c r="A2961" s="1569"/>
      <c r="B2961" s="107" t="s">
        <v>1766</v>
      </c>
      <c r="C2961" s="184">
        <v>30000</v>
      </c>
      <c r="D2961" s="184"/>
      <c r="E2961" s="184">
        <v>30000</v>
      </c>
      <c r="F2961" s="267"/>
      <c r="G2961" s="233"/>
      <c r="H2961" s="1497">
        <f t="shared" si="92"/>
        <v>0</v>
      </c>
      <c r="I2961" s="1497">
        <f t="shared" si="93"/>
        <v>60000</v>
      </c>
      <c r="J2961" s="1440"/>
      <c r="K2961" s="1490"/>
      <c r="L2961" s="1490"/>
    </row>
    <row r="2962" spans="1:12" ht="56.25">
      <c r="A2962" s="1569"/>
      <c r="B2962" s="107" t="s">
        <v>1767</v>
      </c>
      <c r="C2962" s="184">
        <v>12000</v>
      </c>
      <c r="D2962" s="184">
        <v>12000</v>
      </c>
      <c r="E2962" s="184"/>
      <c r="F2962" s="267"/>
      <c r="G2962" s="233"/>
      <c r="H2962" s="1497">
        <f t="shared" si="92"/>
        <v>0</v>
      </c>
      <c r="I2962" s="1497">
        <f t="shared" si="93"/>
        <v>24000</v>
      </c>
      <c r="J2962" s="1440"/>
      <c r="K2962" s="1490"/>
      <c r="L2962" s="1490"/>
    </row>
    <row r="2963" spans="1:12" ht="93.75">
      <c r="A2963" s="1569"/>
      <c r="B2963" s="107" t="s">
        <v>1768</v>
      </c>
      <c r="C2963" s="184">
        <v>33635</v>
      </c>
      <c r="D2963" s="184">
        <v>33635</v>
      </c>
      <c r="E2963" s="184"/>
      <c r="F2963" s="267"/>
      <c r="G2963" s="233"/>
      <c r="H2963" s="1497">
        <f t="shared" si="92"/>
        <v>0</v>
      </c>
      <c r="I2963" s="1497">
        <f t="shared" si="93"/>
        <v>67270</v>
      </c>
      <c r="J2963" s="1440"/>
      <c r="K2963" s="1490"/>
      <c r="L2963" s="1490"/>
    </row>
    <row r="2964" spans="1:12" hidden="1">
      <c r="A2964" s="1569"/>
      <c r="B2964" s="371"/>
      <c r="C2964" s="844"/>
      <c r="D2964" s="845"/>
      <c r="E2964" s="862"/>
      <c r="F2964" s="267"/>
      <c r="G2964" s="233"/>
      <c r="H2964" s="231">
        <f t="shared" si="92"/>
        <v>0</v>
      </c>
      <c r="I2964" s="231">
        <f t="shared" si="93"/>
        <v>0</v>
      </c>
    </row>
    <row r="2965" spans="1:12" hidden="1">
      <c r="A2965" s="1569"/>
      <c r="B2965" s="821"/>
      <c r="C2965" s="851"/>
      <c r="D2965" s="851"/>
      <c r="E2965" s="852"/>
      <c r="F2965" s="267"/>
      <c r="G2965" s="233"/>
      <c r="H2965" s="231">
        <f t="shared" si="92"/>
        <v>0</v>
      </c>
      <c r="I2965" s="231">
        <f t="shared" si="93"/>
        <v>0</v>
      </c>
    </row>
    <row r="2966" spans="1:12" hidden="1">
      <c r="A2966" s="1569"/>
      <c r="B2966" s="385"/>
      <c r="C2966" s="638"/>
      <c r="D2966" s="638"/>
      <c r="E2966" s="639"/>
      <c r="F2966" s="232"/>
      <c r="G2966" s="232"/>
      <c r="H2966" s="231">
        <f t="shared" si="92"/>
        <v>0</v>
      </c>
      <c r="I2966" s="231">
        <f t="shared" si="93"/>
        <v>0</v>
      </c>
    </row>
    <row r="2967" spans="1:12" hidden="1">
      <c r="A2967" s="1569"/>
      <c r="B2967" s="116"/>
      <c r="C2967" s="679"/>
      <c r="D2967" s="679"/>
      <c r="E2967" s="654"/>
      <c r="F2967" s="354"/>
      <c r="G2967" s="354"/>
      <c r="H2967" s="231">
        <f t="shared" si="92"/>
        <v>0</v>
      </c>
      <c r="I2967" s="231">
        <f t="shared" si="93"/>
        <v>0</v>
      </c>
    </row>
    <row r="2968" spans="1:12" hidden="1">
      <c r="A2968" s="1569"/>
      <c r="B2968" s="107"/>
      <c r="C2968" s="654"/>
      <c r="D2968" s="654"/>
      <c r="E2968" s="654"/>
      <c r="F2968" s="232"/>
      <c r="G2968" s="232"/>
      <c r="H2968" s="231">
        <f t="shared" si="92"/>
        <v>0</v>
      </c>
      <c r="I2968" s="231">
        <f t="shared" si="93"/>
        <v>0</v>
      </c>
    </row>
    <row r="2969" spans="1:12" hidden="1">
      <c r="A2969" s="1569"/>
      <c r="B2969" s="107"/>
      <c r="C2969" s="654"/>
      <c r="D2969" s="654"/>
      <c r="E2969" s="256"/>
      <c r="F2969" s="232"/>
      <c r="G2969" s="232"/>
      <c r="H2969" s="231">
        <f t="shared" si="92"/>
        <v>0</v>
      </c>
      <c r="I2969" s="231">
        <f t="shared" si="93"/>
        <v>0</v>
      </c>
    </row>
    <row r="2970" spans="1:12" hidden="1">
      <c r="A2970" s="1569"/>
      <c r="B2970" s="107"/>
      <c r="C2970" s="654"/>
      <c r="D2970" s="654"/>
      <c r="E2970" s="256"/>
      <c r="F2970" s="267"/>
      <c r="G2970" s="233"/>
      <c r="H2970" s="231">
        <f t="shared" si="92"/>
        <v>0</v>
      </c>
      <c r="I2970" s="231">
        <f t="shared" si="93"/>
        <v>0</v>
      </c>
    </row>
    <row r="2971" spans="1:12" hidden="1">
      <c r="A2971" s="1569"/>
      <c r="B2971" s="107"/>
      <c r="C2971" s="654"/>
      <c r="D2971" s="654"/>
      <c r="E2971" s="256"/>
      <c r="F2971" s="267"/>
      <c r="G2971" s="233"/>
      <c r="H2971" s="231">
        <f t="shared" si="92"/>
        <v>0</v>
      </c>
      <c r="I2971" s="231">
        <f t="shared" si="93"/>
        <v>0</v>
      </c>
    </row>
    <row r="2972" spans="1:12" hidden="1">
      <c r="A2972" s="1569"/>
      <c r="B2972" s="107"/>
      <c r="C2972" s="654"/>
      <c r="D2972" s="654"/>
      <c r="E2972" s="256"/>
      <c r="F2972" s="267"/>
      <c r="G2972" s="233"/>
      <c r="H2972" s="231">
        <f t="shared" si="92"/>
        <v>0</v>
      </c>
      <c r="I2972" s="231">
        <f t="shared" si="93"/>
        <v>0</v>
      </c>
    </row>
    <row r="2973" spans="1:12" hidden="1">
      <c r="A2973" s="1569"/>
      <c r="B2973" s="116"/>
      <c r="C2973" s="679"/>
      <c r="D2973" s="679"/>
      <c r="E2973" s="256"/>
      <c r="F2973" s="267"/>
      <c r="G2973" s="233"/>
      <c r="H2973" s="231">
        <f t="shared" si="92"/>
        <v>0</v>
      </c>
      <c r="I2973" s="231">
        <f t="shared" si="93"/>
        <v>0</v>
      </c>
    </row>
    <row r="2974" spans="1:12" hidden="1">
      <c r="A2974" s="1569"/>
      <c r="B2974" s="107"/>
      <c r="C2974" s="654"/>
      <c r="D2974" s="654"/>
      <c r="E2974" s="256"/>
      <c r="F2974" s="267"/>
      <c r="G2974" s="233"/>
      <c r="H2974" s="231">
        <f t="shared" si="92"/>
        <v>0</v>
      </c>
      <c r="I2974" s="231">
        <f t="shared" si="93"/>
        <v>0</v>
      </c>
    </row>
    <row r="2975" spans="1:12" hidden="1">
      <c r="A2975" s="1569"/>
      <c r="B2975" s="107"/>
      <c r="C2975" s="654"/>
      <c r="D2975" s="654"/>
      <c r="E2975" s="256"/>
      <c r="F2975" s="267"/>
      <c r="G2975" s="233"/>
      <c r="H2975" s="231">
        <f t="shared" si="92"/>
        <v>0</v>
      </c>
      <c r="I2975" s="231">
        <f t="shared" si="93"/>
        <v>0</v>
      </c>
    </row>
    <row r="2976" spans="1:12" hidden="1">
      <c r="A2976" s="1569"/>
      <c r="B2976" s="107"/>
      <c r="C2976" s="654"/>
      <c r="D2976" s="654"/>
      <c r="E2976" s="256"/>
      <c r="F2976" s="267"/>
      <c r="G2976" s="233"/>
      <c r="H2976" s="231">
        <f t="shared" si="92"/>
        <v>0</v>
      </c>
      <c r="I2976" s="231">
        <f t="shared" si="93"/>
        <v>0</v>
      </c>
    </row>
    <row r="2977" spans="1:9" hidden="1">
      <c r="A2977" s="1569"/>
      <c r="B2977" s="107"/>
      <c r="C2977" s="654"/>
      <c r="D2977" s="654"/>
      <c r="E2977" s="256"/>
      <c r="F2977" s="267"/>
      <c r="G2977" s="233"/>
      <c r="H2977" s="231">
        <f t="shared" si="92"/>
        <v>0</v>
      </c>
      <c r="I2977" s="231">
        <f t="shared" si="93"/>
        <v>0</v>
      </c>
    </row>
    <row r="2978" spans="1:9" hidden="1">
      <c r="A2978" s="1569"/>
      <c r="B2978" s="107"/>
      <c r="C2978" s="654"/>
      <c r="D2978" s="654"/>
      <c r="E2978" s="256"/>
      <c r="F2978" s="267"/>
      <c r="G2978" s="233"/>
      <c r="H2978" s="231">
        <f t="shared" si="92"/>
        <v>0</v>
      </c>
      <c r="I2978" s="231">
        <f t="shared" si="93"/>
        <v>0</v>
      </c>
    </row>
    <row r="2979" spans="1:9" hidden="1">
      <c r="A2979" s="1569"/>
      <c r="B2979" s="107"/>
      <c r="C2979" s="654"/>
      <c r="D2979" s="654"/>
      <c r="E2979" s="256"/>
      <c r="F2979" s="267"/>
      <c r="G2979" s="233"/>
      <c r="H2979" s="231">
        <f t="shared" si="92"/>
        <v>0</v>
      </c>
      <c r="I2979" s="231">
        <f t="shared" si="93"/>
        <v>0</v>
      </c>
    </row>
    <row r="2980" spans="1:9" hidden="1">
      <c r="A2980" s="1569"/>
      <c r="B2980" s="107"/>
      <c r="C2980" s="654"/>
      <c r="D2980" s="654"/>
      <c r="E2980" s="256"/>
      <c r="F2980" s="267"/>
      <c r="G2980" s="233"/>
      <c r="H2980" s="231">
        <f t="shared" si="92"/>
        <v>0</v>
      </c>
      <c r="I2980" s="231">
        <f t="shared" si="93"/>
        <v>0</v>
      </c>
    </row>
    <row r="2981" spans="1:9" hidden="1">
      <c r="A2981" s="1569"/>
      <c r="B2981" s="107"/>
      <c r="C2981" s="654"/>
      <c r="D2981" s="654"/>
      <c r="E2981" s="256"/>
      <c r="F2981" s="267"/>
      <c r="G2981" s="233"/>
      <c r="H2981" s="231">
        <f t="shared" si="92"/>
        <v>0</v>
      </c>
      <c r="I2981" s="231">
        <f t="shared" si="93"/>
        <v>0</v>
      </c>
    </row>
    <row r="2982" spans="1:9" hidden="1">
      <c r="A2982" s="1569"/>
      <c r="B2982" s="107"/>
      <c r="C2982" s="654"/>
      <c r="D2982" s="654"/>
      <c r="E2982" s="256"/>
      <c r="F2982" s="267"/>
      <c r="G2982" s="233"/>
      <c r="H2982" s="231">
        <f t="shared" si="92"/>
        <v>0</v>
      </c>
      <c r="I2982" s="231">
        <f t="shared" si="93"/>
        <v>0</v>
      </c>
    </row>
    <row r="2983" spans="1:9" hidden="1">
      <c r="A2983" s="1569"/>
      <c r="B2983" s="107"/>
      <c r="C2983" s="654"/>
      <c r="D2983" s="654"/>
      <c r="E2983" s="256"/>
      <c r="F2983" s="267"/>
      <c r="G2983" s="233"/>
      <c r="H2983" s="231">
        <f t="shared" si="92"/>
        <v>0</v>
      </c>
      <c r="I2983" s="231">
        <f t="shared" si="93"/>
        <v>0</v>
      </c>
    </row>
    <row r="2984" spans="1:9" hidden="1">
      <c r="A2984" s="1569"/>
      <c r="B2984" s="107"/>
      <c r="C2984" s="654"/>
      <c r="D2984" s="654"/>
      <c r="E2984" s="256"/>
      <c r="F2984" s="267"/>
      <c r="G2984" s="233"/>
      <c r="H2984" s="231">
        <f t="shared" si="92"/>
        <v>0</v>
      </c>
      <c r="I2984" s="231">
        <f t="shared" si="93"/>
        <v>0</v>
      </c>
    </row>
    <row r="2985" spans="1:9" hidden="1">
      <c r="A2985" s="1569"/>
      <c r="B2985" s="107"/>
      <c r="C2985" s="654"/>
      <c r="D2985" s="654"/>
      <c r="E2985" s="256"/>
      <c r="F2985" s="267"/>
      <c r="G2985" s="233"/>
      <c r="H2985" s="231">
        <f t="shared" si="92"/>
        <v>0</v>
      </c>
      <c r="I2985" s="231">
        <f t="shared" si="93"/>
        <v>0</v>
      </c>
    </row>
    <row r="2986" spans="1:9" hidden="1">
      <c r="A2986" s="1569"/>
      <c r="B2986" s="107"/>
      <c r="C2986" s="654"/>
      <c r="D2986" s="654"/>
      <c r="E2986" s="256"/>
      <c r="F2986" s="267"/>
      <c r="G2986" s="233"/>
      <c r="H2986" s="231">
        <f t="shared" si="92"/>
        <v>0</v>
      </c>
      <c r="I2986" s="231">
        <f t="shared" si="93"/>
        <v>0</v>
      </c>
    </row>
    <row r="2987" spans="1:9" hidden="1">
      <c r="A2987" s="1569"/>
      <c r="B2987" s="107"/>
      <c r="C2987" s="654"/>
      <c r="D2987" s="654"/>
      <c r="E2987" s="256"/>
      <c r="F2987" s="267"/>
      <c r="G2987" s="233"/>
      <c r="H2987" s="231">
        <f t="shared" si="92"/>
        <v>0</v>
      </c>
      <c r="I2987" s="231">
        <f t="shared" si="93"/>
        <v>0</v>
      </c>
    </row>
    <row r="2988" spans="1:9" hidden="1">
      <c r="A2988" s="1569"/>
      <c r="B2988" s="107"/>
      <c r="C2988" s="654"/>
      <c r="D2988" s="654"/>
      <c r="E2988" s="256"/>
      <c r="F2988" s="267"/>
      <c r="G2988" s="233"/>
      <c r="H2988" s="231">
        <f t="shared" si="92"/>
        <v>0</v>
      </c>
      <c r="I2988" s="231">
        <f t="shared" si="93"/>
        <v>0</v>
      </c>
    </row>
    <row r="2989" spans="1:9" hidden="1">
      <c r="A2989" s="1569"/>
      <c r="B2989" s="107"/>
      <c r="C2989" s="654"/>
      <c r="D2989" s="654"/>
      <c r="E2989" s="256"/>
      <c r="F2989" s="267"/>
      <c r="G2989" s="233"/>
      <c r="H2989" s="231">
        <f t="shared" si="92"/>
        <v>0</v>
      </c>
      <c r="I2989" s="231">
        <f t="shared" si="93"/>
        <v>0</v>
      </c>
    </row>
    <row r="2990" spans="1:9" hidden="1">
      <c r="A2990" s="1569"/>
      <c r="B2990" s="107"/>
      <c r="C2990" s="654"/>
      <c r="D2990" s="654"/>
      <c r="E2990" s="256"/>
      <c r="F2990" s="267"/>
      <c r="G2990" s="233"/>
      <c r="H2990" s="231">
        <f t="shared" si="92"/>
        <v>0</v>
      </c>
      <c r="I2990" s="231">
        <f t="shared" si="93"/>
        <v>0</v>
      </c>
    </row>
    <row r="2991" spans="1:9" hidden="1">
      <c r="A2991" s="1569"/>
      <c r="B2991" s="107"/>
      <c r="C2991" s="654"/>
      <c r="D2991" s="654"/>
      <c r="E2991" s="256"/>
      <c r="F2991" s="267"/>
      <c r="G2991" s="233"/>
      <c r="H2991" s="231">
        <f t="shared" si="92"/>
        <v>0</v>
      </c>
      <c r="I2991" s="231">
        <f t="shared" si="93"/>
        <v>0</v>
      </c>
    </row>
    <row r="2992" spans="1:9" hidden="1">
      <c r="A2992" s="1569"/>
      <c r="B2992" s="107"/>
      <c r="C2992" s="654"/>
      <c r="D2992" s="654"/>
      <c r="E2992" s="256"/>
      <c r="F2992" s="267"/>
      <c r="G2992" s="233"/>
      <c r="H2992" s="231">
        <f t="shared" si="92"/>
        <v>0</v>
      </c>
      <c r="I2992" s="231">
        <f t="shared" si="93"/>
        <v>0</v>
      </c>
    </row>
    <row r="2993" spans="1:12">
      <c r="A2993" s="1659"/>
      <c r="B2993" s="209" t="s">
        <v>985</v>
      </c>
      <c r="C2993" s="581">
        <f>SUM(C2959:C2992)</f>
        <v>85635</v>
      </c>
      <c r="D2993" s="581">
        <f>SUM(D2959:D2992)</f>
        <v>45635</v>
      </c>
      <c r="E2993" s="581">
        <f>SUM(E2959:E2992)</f>
        <v>40000</v>
      </c>
      <c r="F2993" s="267"/>
      <c r="G2993" s="233"/>
      <c r="H2993" s="1497">
        <f t="shared" si="92"/>
        <v>0</v>
      </c>
      <c r="I2993" s="1497">
        <f t="shared" si="93"/>
        <v>171270</v>
      </c>
      <c r="J2993" s="1440"/>
      <c r="K2993" s="1490"/>
      <c r="L2993" s="1490"/>
    </row>
    <row r="2994" spans="1:12" ht="37.5">
      <c r="A2994" s="1568" t="s">
        <v>1105</v>
      </c>
      <c r="B2994" s="1215" t="s">
        <v>1405</v>
      </c>
      <c r="C2994" s="1214">
        <v>12500</v>
      </c>
      <c r="D2994" s="256"/>
      <c r="E2994" s="256">
        <v>12500</v>
      </c>
      <c r="F2994" s="267"/>
      <c r="G2994" s="233"/>
      <c r="H2994" s="1497">
        <f t="shared" si="92"/>
        <v>0</v>
      </c>
      <c r="I2994" s="1497">
        <f t="shared" si="93"/>
        <v>25000</v>
      </c>
      <c r="J2994" s="1440"/>
      <c r="K2994" s="1490"/>
      <c r="L2994" s="1490"/>
    </row>
    <row r="2995" spans="1:12" ht="37.5">
      <c r="A2995" s="1569"/>
      <c r="B2995" s="1215" t="s">
        <v>1406</v>
      </c>
      <c r="C2995" s="1214">
        <v>16000</v>
      </c>
      <c r="D2995" s="256"/>
      <c r="E2995" s="256">
        <v>16000</v>
      </c>
      <c r="F2995" s="267"/>
      <c r="G2995" s="233"/>
      <c r="H2995" s="1497">
        <f t="shared" si="92"/>
        <v>0</v>
      </c>
      <c r="I2995" s="1497">
        <f t="shared" si="93"/>
        <v>32000</v>
      </c>
      <c r="J2995" s="1440"/>
      <c r="K2995" s="1490"/>
      <c r="L2995" s="1490"/>
    </row>
    <row r="2996" spans="1:12" ht="56.25">
      <c r="A2996" s="1569"/>
      <c r="B2996" s="1215" t="s">
        <v>1407</v>
      </c>
      <c r="C2996" s="1214">
        <v>11800</v>
      </c>
      <c r="D2996" s="256">
        <v>11800</v>
      </c>
      <c r="E2996" s="256"/>
      <c r="F2996" s="267"/>
      <c r="G2996" s="233"/>
      <c r="H2996" s="1497">
        <f t="shared" si="92"/>
        <v>0</v>
      </c>
      <c r="I2996" s="1497">
        <f t="shared" si="93"/>
        <v>23600</v>
      </c>
      <c r="J2996" s="1440"/>
      <c r="K2996" s="1490"/>
      <c r="L2996" s="1490"/>
    </row>
    <row r="2997" spans="1:12" ht="56.25">
      <c r="A2997" s="1569"/>
      <c r="B2997" s="1215" t="s">
        <v>1408</v>
      </c>
      <c r="C2997" s="1214">
        <v>7000</v>
      </c>
      <c r="D2997" s="256"/>
      <c r="E2997" s="256">
        <v>7000</v>
      </c>
      <c r="F2997" s="267"/>
      <c r="G2997" s="233"/>
      <c r="H2997" s="1497">
        <f t="shared" si="92"/>
        <v>0</v>
      </c>
      <c r="I2997" s="1497">
        <f t="shared" si="93"/>
        <v>14000</v>
      </c>
      <c r="J2997" s="1440"/>
      <c r="K2997" s="1490"/>
      <c r="L2997" s="1490"/>
    </row>
    <row r="2998" spans="1:12" ht="56.25">
      <c r="A2998" s="1569"/>
      <c r="B2998" s="1215" t="s">
        <v>1409</v>
      </c>
      <c r="C2998" s="1214">
        <v>11749</v>
      </c>
      <c r="D2998" s="256">
        <v>11749</v>
      </c>
      <c r="E2998" s="256"/>
      <c r="F2998" s="267"/>
      <c r="G2998" s="233"/>
      <c r="H2998" s="1497">
        <f t="shared" si="92"/>
        <v>0</v>
      </c>
      <c r="I2998" s="1497">
        <f t="shared" si="93"/>
        <v>23498</v>
      </c>
      <c r="J2998" s="1440"/>
      <c r="K2998" s="1490"/>
      <c r="L2998" s="1490"/>
    </row>
    <row r="2999" spans="1:12" ht="37.5">
      <c r="A2999" s="1569"/>
      <c r="B2999" s="1215" t="s">
        <v>1410</v>
      </c>
      <c r="C2999" s="1214">
        <v>100000</v>
      </c>
      <c r="D2999" s="256"/>
      <c r="E2999" s="256">
        <v>100000</v>
      </c>
      <c r="F2999" s="267"/>
      <c r="G2999" s="233"/>
      <c r="H2999" s="1497">
        <f t="shared" si="92"/>
        <v>0</v>
      </c>
      <c r="I2999" s="1497">
        <f t="shared" si="93"/>
        <v>200000</v>
      </c>
      <c r="J2999" s="1440"/>
      <c r="K2999" s="1490"/>
      <c r="L2999" s="1490"/>
    </row>
    <row r="3000" spans="1:12" ht="37.5">
      <c r="A3000" s="1569"/>
      <c r="B3000" s="425" t="s">
        <v>1769</v>
      </c>
      <c r="C3000" s="817">
        <v>9112</v>
      </c>
      <c r="D3000" s="817"/>
      <c r="E3000" s="184">
        <v>9112</v>
      </c>
      <c r="F3000" s="267"/>
      <c r="G3000" s="233"/>
      <c r="H3000" s="1497">
        <f t="shared" si="92"/>
        <v>0</v>
      </c>
      <c r="I3000" s="1497">
        <f t="shared" si="93"/>
        <v>18224</v>
      </c>
      <c r="J3000" s="1440"/>
      <c r="K3000" s="1490"/>
      <c r="L3000" s="1490"/>
    </row>
    <row r="3001" spans="1:12" ht="37.5">
      <c r="A3001" s="1569"/>
      <c r="B3001" s="107" t="s">
        <v>1770</v>
      </c>
      <c r="C3001" s="184">
        <v>10000</v>
      </c>
      <c r="D3001" s="184">
        <v>10000</v>
      </c>
      <c r="E3001" s="184"/>
      <c r="F3001" s="267"/>
      <c r="G3001" s="233"/>
      <c r="H3001" s="1497">
        <f t="shared" si="92"/>
        <v>0</v>
      </c>
      <c r="I3001" s="1497">
        <f t="shared" si="93"/>
        <v>20000</v>
      </c>
      <c r="J3001" s="1440"/>
      <c r="K3001" s="1490"/>
      <c r="L3001" s="1490"/>
    </row>
    <row r="3002" spans="1:12" ht="75">
      <c r="A3002" s="1569"/>
      <c r="B3002" s="107" t="s">
        <v>1771</v>
      </c>
      <c r="C3002" s="184">
        <v>9700</v>
      </c>
      <c r="D3002" s="184"/>
      <c r="E3002" s="184">
        <v>9700</v>
      </c>
      <c r="F3002" s="267"/>
      <c r="G3002" s="233"/>
      <c r="H3002" s="1497">
        <f t="shared" si="92"/>
        <v>0</v>
      </c>
      <c r="I3002" s="1497">
        <f t="shared" si="93"/>
        <v>19400</v>
      </c>
      <c r="J3002" s="1440"/>
      <c r="K3002" s="1490"/>
      <c r="L3002" s="1490"/>
    </row>
    <row r="3003" spans="1:12" ht="37.5">
      <c r="A3003" s="1569"/>
      <c r="B3003" s="107" t="s">
        <v>1772</v>
      </c>
      <c r="C3003" s="184">
        <v>5000</v>
      </c>
      <c r="D3003" s="184">
        <v>5000</v>
      </c>
      <c r="E3003" s="184"/>
      <c r="F3003" s="267"/>
      <c r="G3003" s="233"/>
      <c r="H3003" s="1497">
        <f t="shared" si="92"/>
        <v>0</v>
      </c>
      <c r="I3003" s="1497">
        <f t="shared" si="93"/>
        <v>10000</v>
      </c>
      <c r="J3003" s="1440"/>
      <c r="K3003" s="1490"/>
      <c r="L3003" s="1490"/>
    </row>
    <row r="3004" spans="1:12" ht="75">
      <c r="A3004" s="1569"/>
      <c r="B3004" s="107" t="s">
        <v>1773</v>
      </c>
      <c r="C3004" s="184">
        <v>10000</v>
      </c>
      <c r="D3004" s="184">
        <v>10000</v>
      </c>
      <c r="E3004" s="184"/>
      <c r="F3004" s="267"/>
      <c r="G3004" s="233"/>
      <c r="H3004" s="1497">
        <f t="shared" si="92"/>
        <v>0</v>
      </c>
      <c r="I3004" s="1497">
        <f t="shared" si="93"/>
        <v>20000</v>
      </c>
      <c r="J3004" s="1440"/>
      <c r="K3004" s="1490"/>
      <c r="L3004" s="1490"/>
    </row>
    <row r="3005" spans="1:12" ht="56.25">
      <c r="A3005" s="1569"/>
      <c r="B3005" s="107" t="s">
        <v>1774</v>
      </c>
      <c r="C3005" s="184">
        <v>18000</v>
      </c>
      <c r="D3005" s="184"/>
      <c r="E3005" s="184">
        <v>18000</v>
      </c>
      <c r="F3005" s="267"/>
      <c r="G3005" s="233"/>
      <c r="H3005" s="1497">
        <f t="shared" si="92"/>
        <v>0</v>
      </c>
      <c r="I3005" s="1497">
        <f t="shared" si="93"/>
        <v>36000</v>
      </c>
      <c r="J3005" s="1440"/>
      <c r="K3005" s="1490"/>
      <c r="L3005" s="1490"/>
    </row>
    <row r="3006" spans="1:12" ht="56.25">
      <c r="A3006" s="1569"/>
      <c r="B3006" s="107" t="s">
        <v>1775</v>
      </c>
      <c r="C3006" s="184">
        <v>30726</v>
      </c>
      <c r="D3006" s="184"/>
      <c r="E3006" s="184">
        <v>30726</v>
      </c>
      <c r="F3006" s="267"/>
      <c r="G3006" s="233"/>
      <c r="H3006" s="1497">
        <f t="shared" si="92"/>
        <v>0</v>
      </c>
      <c r="I3006" s="1497">
        <f t="shared" si="93"/>
        <v>61452</v>
      </c>
      <c r="J3006" s="1440"/>
      <c r="K3006" s="1490"/>
      <c r="L3006" s="1490"/>
    </row>
    <row r="3007" spans="1:12" ht="37.5">
      <c r="A3007" s="1569"/>
      <c r="B3007" s="107" t="s">
        <v>1776</v>
      </c>
      <c r="C3007" s="184">
        <v>26000</v>
      </c>
      <c r="D3007" s="184">
        <v>26000</v>
      </c>
      <c r="E3007" s="184"/>
      <c r="F3007" s="267"/>
      <c r="G3007" s="233"/>
      <c r="H3007" s="1497">
        <f t="shared" si="92"/>
        <v>0</v>
      </c>
      <c r="I3007" s="1497">
        <f t="shared" si="93"/>
        <v>52000</v>
      </c>
      <c r="J3007" s="1440"/>
      <c r="K3007" s="1490"/>
      <c r="L3007" s="1490"/>
    </row>
    <row r="3008" spans="1:12" s="374" customFormat="1" ht="37.5">
      <c r="A3008" s="1569"/>
      <c r="B3008" s="107" t="s">
        <v>1777</v>
      </c>
      <c r="C3008" s="817">
        <v>26000</v>
      </c>
      <c r="D3008" s="817">
        <v>26000</v>
      </c>
      <c r="E3008" s="184"/>
      <c r="F3008" s="377"/>
      <c r="G3008" s="378"/>
      <c r="H3008" s="1497">
        <f t="shared" si="92"/>
        <v>0</v>
      </c>
      <c r="I3008" s="1497">
        <f t="shared" si="93"/>
        <v>52000</v>
      </c>
      <c r="J3008" s="1440"/>
      <c r="K3008" s="1490"/>
      <c r="L3008" s="1490"/>
    </row>
    <row r="3009" spans="1:12" ht="93.75">
      <c r="A3009" s="1569"/>
      <c r="B3009" s="107" t="s">
        <v>1778</v>
      </c>
      <c r="C3009" s="817">
        <v>5112</v>
      </c>
      <c r="D3009" s="817">
        <v>5112</v>
      </c>
      <c r="E3009" s="184"/>
      <c r="F3009" s="267"/>
      <c r="G3009" s="233"/>
      <c r="H3009" s="1497">
        <f t="shared" si="92"/>
        <v>0</v>
      </c>
      <c r="I3009" s="1497">
        <f t="shared" si="93"/>
        <v>10224</v>
      </c>
      <c r="J3009" s="1440"/>
      <c r="K3009" s="1490"/>
      <c r="L3009" s="1490"/>
    </row>
    <row r="3010" spans="1:12" ht="56.25">
      <c r="A3010" s="1569"/>
      <c r="B3010" s="107" t="s">
        <v>2137</v>
      </c>
      <c r="C3010" s="184">
        <v>18000</v>
      </c>
      <c r="D3010" s="184"/>
      <c r="E3010" s="184">
        <v>18000</v>
      </c>
      <c r="F3010" s="267"/>
      <c r="G3010" s="233"/>
      <c r="H3010" s="1497">
        <f t="shared" si="92"/>
        <v>0</v>
      </c>
      <c r="I3010" s="1497">
        <f t="shared" si="93"/>
        <v>36000</v>
      </c>
      <c r="J3010" s="1440"/>
      <c r="K3010" s="1490"/>
      <c r="L3010" s="1490"/>
    </row>
    <row r="3011" spans="1:12" ht="93.75">
      <c r="A3011" s="1569"/>
      <c r="B3011" s="107" t="s">
        <v>2138</v>
      </c>
      <c r="C3011" s="184">
        <v>5000</v>
      </c>
      <c r="D3011" s="184">
        <v>5000</v>
      </c>
      <c r="E3011" s="184"/>
      <c r="F3011" s="267"/>
      <c r="G3011" s="233"/>
      <c r="H3011" s="1497">
        <f t="shared" si="92"/>
        <v>0</v>
      </c>
      <c r="I3011" s="1497">
        <f t="shared" si="93"/>
        <v>10000</v>
      </c>
      <c r="J3011" s="1440"/>
      <c r="K3011" s="1490"/>
      <c r="L3011" s="1490"/>
    </row>
    <row r="3012" spans="1:12" hidden="1">
      <c r="A3012" s="1569"/>
      <c r="B3012" s="107"/>
      <c r="C3012" s="649"/>
      <c r="D3012" s="649"/>
      <c r="E3012" s="256"/>
      <c r="F3012" s="267"/>
      <c r="G3012" s="233"/>
      <c r="H3012" s="231">
        <f t="shared" si="92"/>
        <v>0</v>
      </c>
      <c r="I3012" s="231">
        <f t="shared" si="93"/>
        <v>0</v>
      </c>
    </row>
    <row r="3013" spans="1:12" hidden="1">
      <c r="A3013" s="1569"/>
      <c r="B3013" s="107"/>
      <c r="C3013" s="649"/>
      <c r="D3013" s="649"/>
      <c r="E3013" s="256"/>
      <c r="F3013" s="267"/>
      <c r="G3013" s="233"/>
      <c r="H3013" s="231">
        <f t="shared" si="92"/>
        <v>0</v>
      </c>
      <c r="I3013" s="231">
        <f t="shared" si="93"/>
        <v>0</v>
      </c>
    </row>
    <row r="3014" spans="1:12" hidden="1">
      <c r="A3014" s="1569"/>
      <c r="B3014" s="425"/>
      <c r="C3014" s="649"/>
      <c r="D3014" s="649"/>
      <c r="E3014" s="256"/>
      <c r="F3014" s="267"/>
      <c r="G3014" s="233"/>
      <c r="H3014" s="231">
        <f t="shared" si="92"/>
        <v>0</v>
      </c>
      <c r="I3014" s="231">
        <f t="shared" si="93"/>
        <v>0</v>
      </c>
    </row>
    <row r="3015" spans="1:12" hidden="1">
      <c r="A3015" s="1569"/>
      <c r="B3015" s="425"/>
      <c r="C3015" s="649"/>
      <c r="D3015" s="649"/>
      <c r="E3015" s="256"/>
      <c r="F3015" s="267"/>
      <c r="G3015" s="233"/>
      <c r="H3015" s="231">
        <f t="shared" si="92"/>
        <v>0</v>
      </c>
      <c r="I3015" s="231">
        <f t="shared" si="93"/>
        <v>0</v>
      </c>
    </row>
    <row r="3016" spans="1:12" hidden="1">
      <c r="A3016" s="1569"/>
      <c r="B3016" s="425"/>
      <c r="C3016" s="649"/>
      <c r="D3016" s="649"/>
      <c r="E3016" s="256"/>
      <c r="F3016" s="267"/>
      <c r="G3016" s="233"/>
      <c r="H3016" s="231">
        <f t="shared" si="92"/>
        <v>0</v>
      </c>
      <c r="I3016" s="231">
        <f t="shared" si="93"/>
        <v>0</v>
      </c>
    </row>
    <row r="3017" spans="1:12" hidden="1">
      <c r="A3017" s="1569"/>
      <c r="B3017" s="425"/>
      <c r="C3017" s="649"/>
      <c r="D3017" s="649"/>
      <c r="E3017" s="256"/>
      <c r="F3017" s="267"/>
      <c r="G3017" s="233"/>
      <c r="H3017" s="231">
        <f t="shared" ref="H3017:H3080" si="94">E3017+D3017-C3017</f>
        <v>0</v>
      </c>
      <c r="I3017" s="231">
        <f t="shared" ref="I3017:I3080" si="95">SUM(C3017:E3017)</f>
        <v>0</v>
      </c>
    </row>
    <row r="3018" spans="1:12" hidden="1">
      <c r="A3018" s="1569"/>
      <c r="B3018" s="770"/>
      <c r="C3018" s="771"/>
      <c r="D3018" s="771"/>
      <c r="E3018" s="772"/>
      <c r="F3018" s="267"/>
      <c r="G3018" s="233"/>
      <c r="H3018" s="231">
        <f t="shared" si="94"/>
        <v>0</v>
      </c>
      <c r="I3018" s="231">
        <f t="shared" si="95"/>
        <v>0</v>
      </c>
    </row>
    <row r="3019" spans="1:12" hidden="1">
      <c r="A3019" s="1569"/>
      <c r="B3019" s="770"/>
      <c r="C3019" s="771"/>
      <c r="D3019" s="771"/>
      <c r="E3019" s="772"/>
      <c r="F3019" s="267"/>
      <c r="G3019" s="233"/>
      <c r="H3019" s="231">
        <f t="shared" si="94"/>
        <v>0</v>
      </c>
      <c r="I3019" s="231">
        <f t="shared" si="95"/>
        <v>0</v>
      </c>
    </row>
    <row r="3020" spans="1:12" hidden="1">
      <c r="A3020" s="1569"/>
      <c r="B3020" s="371"/>
      <c r="C3020" s="851"/>
      <c r="D3020" s="851"/>
      <c r="E3020" s="852"/>
      <c r="F3020" s="267"/>
      <c r="G3020" s="233"/>
      <c r="H3020" s="231">
        <f t="shared" si="94"/>
        <v>0</v>
      </c>
      <c r="I3020" s="231">
        <f t="shared" si="95"/>
        <v>0</v>
      </c>
    </row>
    <row r="3021" spans="1:12" hidden="1">
      <c r="A3021" s="1569"/>
      <c r="B3021" s="371"/>
      <c r="C3021" s="851"/>
      <c r="D3021" s="851"/>
      <c r="E3021" s="852"/>
      <c r="F3021" s="267"/>
      <c r="G3021" s="233"/>
      <c r="H3021" s="231">
        <f t="shared" si="94"/>
        <v>0</v>
      </c>
      <c r="I3021" s="231">
        <f t="shared" si="95"/>
        <v>0</v>
      </c>
    </row>
    <row r="3022" spans="1:12" hidden="1">
      <c r="A3022" s="1569"/>
      <c r="B3022" s="371"/>
      <c r="C3022" s="851"/>
      <c r="D3022" s="851"/>
      <c r="E3022" s="852"/>
      <c r="F3022" s="267"/>
      <c r="G3022" s="233"/>
      <c r="H3022" s="231">
        <f t="shared" si="94"/>
        <v>0</v>
      </c>
      <c r="I3022" s="231">
        <f t="shared" si="95"/>
        <v>0</v>
      </c>
    </row>
    <row r="3023" spans="1:12" hidden="1">
      <c r="A3023" s="1569"/>
      <c r="B3023" s="371"/>
      <c r="C3023" s="851"/>
      <c r="D3023" s="851"/>
      <c r="E3023" s="852"/>
      <c r="F3023" s="267"/>
      <c r="G3023" s="233"/>
      <c r="H3023" s="231">
        <f t="shared" si="94"/>
        <v>0</v>
      </c>
      <c r="I3023" s="231">
        <f t="shared" si="95"/>
        <v>0</v>
      </c>
    </row>
    <row r="3024" spans="1:12" hidden="1">
      <c r="A3024" s="1569"/>
      <c r="B3024" s="821"/>
      <c r="C3024" s="852"/>
      <c r="D3024" s="852"/>
      <c r="E3024" s="852"/>
      <c r="F3024" s="267"/>
      <c r="G3024" s="233"/>
      <c r="H3024" s="231">
        <f t="shared" si="94"/>
        <v>0</v>
      </c>
      <c r="I3024" s="231">
        <f t="shared" si="95"/>
        <v>0</v>
      </c>
    </row>
    <row r="3025" spans="1:12" hidden="1">
      <c r="A3025" s="1569"/>
      <c r="B3025" s="821"/>
      <c r="C3025" s="852"/>
      <c r="D3025" s="852"/>
      <c r="E3025" s="852"/>
      <c r="F3025" s="267"/>
      <c r="G3025" s="233"/>
      <c r="H3025" s="231">
        <f t="shared" si="94"/>
        <v>0</v>
      </c>
      <c r="I3025" s="231">
        <f t="shared" si="95"/>
        <v>0</v>
      </c>
    </row>
    <row r="3026" spans="1:12" hidden="1">
      <c r="A3026" s="1569"/>
      <c r="B3026" s="821"/>
      <c r="C3026" s="852"/>
      <c r="D3026" s="852"/>
      <c r="E3026" s="852"/>
      <c r="F3026" s="267"/>
      <c r="G3026" s="233"/>
      <c r="H3026" s="231">
        <f t="shared" si="94"/>
        <v>0</v>
      </c>
      <c r="I3026" s="231">
        <f t="shared" si="95"/>
        <v>0</v>
      </c>
    </row>
    <row r="3027" spans="1:12" hidden="1">
      <c r="A3027" s="1569"/>
      <c r="B3027" s="821"/>
      <c r="C3027" s="852"/>
      <c r="D3027" s="852"/>
      <c r="E3027" s="852"/>
      <c r="F3027" s="267"/>
      <c r="G3027" s="233"/>
      <c r="H3027" s="231">
        <f t="shared" si="94"/>
        <v>0</v>
      </c>
      <c r="I3027" s="231">
        <f t="shared" si="95"/>
        <v>0</v>
      </c>
    </row>
    <row r="3028" spans="1:12">
      <c r="A3028" s="1659"/>
      <c r="B3028" s="209" t="s">
        <v>985</v>
      </c>
      <c r="C3028" s="581">
        <f>SUM(C2994:C3027)</f>
        <v>331699</v>
      </c>
      <c r="D3028" s="581">
        <f>SUM(D2994:D3027)</f>
        <v>110661</v>
      </c>
      <c r="E3028" s="581">
        <f>SUM(E2994:E3027)</f>
        <v>221038</v>
      </c>
      <c r="F3028" s="267"/>
      <c r="G3028" s="233"/>
      <c r="H3028" s="1497">
        <f t="shared" si="94"/>
        <v>0</v>
      </c>
      <c r="I3028" s="1497">
        <f t="shared" si="95"/>
        <v>663398</v>
      </c>
      <c r="J3028" s="1440"/>
      <c r="K3028" s="1490"/>
      <c r="L3028" s="1490"/>
    </row>
    <row r="3029" spans="1:12" ht="112.5" hidden="1">
      <c r="A3029" s="1568" t="s">
        <v>1106</v>
      </c>
      <c r="B3029" s="107" t="s">
        <v>773</v>
      </c>
      <c r="C3029" s="589"/>
      <c r="D3029" s="589"/>
      <c r="E3029" s="510"/>
      <c r="F3029" s="267"/>
      <c r="G3029" s="233"/>
      <c r="H3029" s="231">
        <f t="shared" si="94"/>
        <v>0</v>
      </c>
      <c r="I3029" s="231">
        <f t="shared" si="95"/>
        <v>0</v>
      </c>
    </row>
    <row r="3030" spans="1:12" ht="56.25">
      <c r="A3030" s="1569"/>
      <c r="B3030" s="1215" t="s">
        <v>1411</v>
      </c>
      <c r="C3030" s="1214">
        <v>200000</v>
      </c>
      <c r="D3030" s="256"/>
      <c r="E3030" s="256">
        <v>200000</v>
      </c>
      <c r="F3030" s="267"/>
      <c r="G3030" s="233"/>
      <c r="H3030" s="1497">
        <f t="shared" si="94"/>
        <v>0</v>
      </c>
      <c r="I3030" s="1497">
        <f t="shared" si="95"/>
        <v>400000</v>
      </c>
      <c r="J3030" s="1440"/>
      <c r="K3030" s="1490"/>
      <c r="L3030" s="1490"/>
    </row>
    <row r="3031" spans="1:12" ht="75">
      <c r="A3031" s="1569"/>
      <c r="B3031" s="1215" t="s">
        <v>1412</v>
      </c>
      <c r="C3031" s="1214">
        <v>100000</v>
      </c>
      <c r="D3031" s="256">
        <v>100000</v>
      </c>
      <c r="E3031" s="256"/>
      <c r="F3031" s="267"/>
      <c r="G3031" s="233"/>
      <c r="H3031" s="1497">
        <f t="shared" si="94"/>
        <v>0</v>
      </c>
      <c r="I3031" s="1497">
        <f t="shared" si="95"/>
        <v>200000</v>
      </c>
      <c r="J3031" s="1440"/>
      <c r="K3031" s="1490"/>
      <c r="L3031" s="1490"/>
    </row>
    <row r="3032" spans="1:12" ht="75">
      <c r="A3032" s="1569"/>
      <c r="B3032" s="1215" t="s">
        <v>1413</v>
      </c>
      <c r="C3032" s="1214">
        <v>100000</v>
      </c>
      <c r="D3032" s="256">
        <v>100000</v>
      </c>
      <c r="E3032" s="256"/>
      <c r="F3032" s="267"/>
      <c r="G3032" s="233"/>
      <c r="H3032" s="1497">
        <f t="shared" si="94"/>
        <v>0</v>
      </c>
      <c r="I3032" s="1497">
        <f t="shared" si="95"/>
        <v>200000</v>
      </c>
      <c r="J3032" s="1440"/>
      <c r="K3032" s="1490"/>
      <c r="L3032" s="1490"/>
    </row>
    <row r="3033" spans="1:12" ht="75">
      <c r="A3033" s="1569"/>
      <c r="B3033" s="425" t="s">
        <v>1779</v>
      </c>
      <c r="C3033" s="817">
        <v>25000</v>
      </c>
      <c r="D3033" s="817">
        <v>25000</v>
      </c>
      <c r="E3033" s="817"/>
      <c r="F3033" s="267"/>
      <c r="G3033" s="233"/>
      <c r="H3033" s="1497">
        <f t="shared" si="94"/>
        <v>0</v>
      </c>
      <c r="I3033" s="1497">
        <f t="shared" si="95"/>
        <v>50000</v>
      </c>
      <c r="J3033" s="1440"/>
      <c r="K3033" s="1490"/>
      <c r="L3033" s="1490"/>
    </row>
    <row r="3034" spans="1:12" ht="56.25">
      <c r="A3034" s="1569"/>
      <c r="B3034" s="425" t="s">
        <v>1780</v>
      </c>
      <c r="C3034" s="817">
        <v>4969</v>
      </c>
      <c r="D3034" s="1226">
        <v>4969</v>
      </c>
      <c r="E3034" s="1227"/>
      <c r="F3034" s="267"/>
      <c r="G3034" s="233"/>
      <c r="H3034" s="1497">
        <f t="shared" si="94"/>
        <v>0</v>
      </c>
      <c r="I3034" s="1497">
        <f t="shared" si="95"/>
        <v>9938</v>
      </c>
      <c r="J3034" s="1440"/>
      <c r="K3034" s="1490"/>
      <c r="L3034" s="1490"/>
    </row>
    <row r="3035" spans="1:12" ht="75">
      <c r="A3035" s="1569"/>
      <c r="B3035" s="107" t="s">
        <v>1781</v>
      </c>
      <c r="C3035" s="817">
        <v>15000</v>
      </c>
      <c r="D3035" s="641">
        <v>15000</v>
      </c>
      <c r="E3035" s="641"/>
      <c r="F3035" s="267"/>
      <c r="G3035" s="233"/>
      <c r="H3035" s="1497">
        <f t="shared" si="94"/>
        <v>0</v>
      </c>
      <c r="I3035" s="1497">
        <f t="shared" si="95"/>
        <v>30000</v>
      </c>
      <c r="J3035" s="1440"/>
      <c r="K3035" s="1490"/>
      <c r="L3035" s="1490"/>
    </row>
    <row r="3036" spans="1:12" ht="93.75">
      <c r="A3036" s="1569"/>
      <c r="B3036" s="107" t="s">
        <v>1782</v>
      </c>
      <c r="C3036" s="817">
        <v>25000</v>
      </c>
      <c r="D3036" s="1226">
        <v>14000</v>
      </c>
      <c r="E3036" s="1227">
        <v>11000</v>
      </c>
      <c r="F3036" s="267"/>
      <c r="G3036" s="233"/>
      <c r="H3036" s="1497">
        <f t="shared" si="94"/>
        <v>0</v>
      </c>
      <c r="I3036" s="1497">
        <f t="shared" si="95"/>
        <v>50000</v>
      </c>
      <c r="J3036" s="1440"/>
      <c r="K3036" s="1490"/>
      <c r="L3036" s="1490"/>
    </row>
    <row r="3037" spans="1:12" ht="37.5">
      <c r="A3037" s="1569"/>
      <c r="B3037" s="107" t="s">
        <v>1783</v>
      </c>
      <c r="C3037" s="817">
        <v>112143</v>
      </c>
      <c r="D3037" s="1226">
        <v>112143</v>
      </c>
      <c r="E3037" s="1227"/>
      <c r="F3037" s="267"/>
      <c r="G3037" s="233"/>
      <c r="H3037" s="1497">
        <f t="shared" si="94"/>
        <v>0</v>
      </c>
      <c r="I3037" s="1497">
        <f t="shared" si="95"/>
        <v>224286</v>
      </c>
      <c r="J3037" s="1440"/>
      <c r="K3037" s="1490"/>
      <c r="L3037" s="1490"/>
    </row>
    <row r="3038" spans="1:12" ht="75">
      <c r="A3038" s="1569"/>
      <c r="B3038" s="425" t="s">
        <v>1784</v>
      </c>
      <c r="C3038" s="1227">
        <v>30000</v>
      </c>
      <c r="D3038" s="184">
        <v>30000</v>
      </c>
      <c r="E3038" s="184"/>
      <c r="F3038" s="267"/>
      <c r="G3038" s="233"/>
      <c r="H3038" s="1497">
        <f t="shared" si="94"/>
        <v>0</v>
      </c>
      <c r="I3038" s="1497">
        <f t="shared" si="95"/>
        <v>60000</v>
      </c>
      <c r="J3038" s="1440"/>
      <c r="K3038" s="1490"/>
      <c r="L3038" s="1490"/>
    </row>
    <row r="3039" spans="1:12" ht="75">
      <c r="A3039" s="1569"/>
      <c r="B3039" s="425" t="s">
        <v>1785</v>
      </c>
      <c r="C3039" s="817">
        <v>30000</v>
      </c>
      <c r="D3039" s="817"/>
      <c r="E3039" s="184">
        <v>30000</v>
      </c>
      <c r="F3039" s="267"/>
      <c r="G3039" s="233"/>
      <c r="H3039" s="1497">
        <f t="shared" si="94"/>
        <v>0</v>
      </c>
      <c r="I3039" s="1497">
        <f t="shared" si="95"/>
        <v>60000</v>
      </c>
      <c r="J3039" s="1440"/>
      <c r="K3039" s="1490"/>
      <c r="L3039" s="1490"/>
    </row>
    <row r="3040" spans="1:12" ht="75">
      <c r="A3040" s="1569"/>
      <c r="B3040" s="425" t="s">
        <v>1786</v>
      </c>
      <c r="C3040" s="817">
        <v>35000</v>
      </c>
      <c r="D3040" s="817"/>
      <c r="E3040" s="184">
        <v>35000</v>
      </c>
      <c r="F3040" s="267"/>
      <c r="G3040" s="233"/>
      <c r="H3040" s="1497">
        <f t="shared" si="94"/>
        <v>0</v>
      </c>
      <c r="I3040" s="1497">
        <f t="shared" si="95"/>
        <v>70000</v>
      </c>
      <c r="J3040" s="1440"/>
      <c r="K3040" s="1490"/>
      <c r="L3040" s="1490"/>
    </row>
    <row r="3041" spans="1:12" ht="37.5">
      <c r="A3041" s="1569"/>
      <c r="B3041" s="425" t="s">
        <v>1787</v>
      </c>
      <c r="C3041" s="817">
        <v>30000</v>
      </c>
      <c r="D3041" s="817">
        <v>30000</v>
      </c>
      <c r="E3041" s="184"/>
      <c r="F3041" s="267"/>
      <c r="G3041" s="233"/>
      <c r="H3041" s="1497">
        <f t="shared" si="94"/>
        <v>0</v>
      </c>
      <c r="I3041" s="1497">
        <f t="shared" si="95"/>
        <v>60000</v>
      </c>
      <c r="J3041" s="1440"/>
      <c r="K3041" s="1490"/>
      <c r="L3041" s="1490"/>
    </row>
    <row r="3042" spans="1:12" ht="37.5">
      <c r="A3042" s="1569"/>
      <c r="B3042" s="425" t="s">
        <v>1788</v>
      </c>
      <c r="C3042" s="817">
        <v>70000</v>
      </c>
      <c r="D3042" s="817">
        <v>70000</v>
      </c>
      <c r="E3042" s="184"/>
      <c r="F3042" s="267"/>
      <c r="G3042" s="233"/>
      <c r="H3042" s="1497">
        <f t="shared" si="94"/>
        <v>0</v>
      </c>
      <c r="I3042" s="1497">
        <f t="shared" si="95"/>
        <v>140000</v>
      </c>
      <c r="J3042" s="1440"/>
      <c r="K3042" s="1490"/>
      <c r="L3042" s="1490"/>
    </row>
    <row r="3043" spans="1:12" ht="56.25">
      <c r="A3043" s="1569"/>
      <c r="B3043" s="425" t="s">
        <v>1789</v>
      </c>
      <c r="C3043" s="817">
        <v>32112</v>
      </c>
      <c r="D3043" s="817">
        <v>32112</v>
      </c>
      <c r="E3043" s="184"/>
      <c r="F3043" s="267"/>
      <c r="G3043" s="233"/>
      <c r="H3043" s="1497">
        <f t="shared" si="94"/>
        <v>0</v>
      </c>
      <c r="I3043" s="1497">
        <f t="shared" si="95"/>
        <v>64224</v>
      </c>
      <c r="J3043" s="1440"/>
      <c r="K3043" s="1490"/>
      <c r="L3043" s="1490"/>
    </row>
    <row r="3044" spans="1:12" hidden="1">
      <c r="A3044" s="1569"/>
      <c r="B3044" s="636"/>
      <c r="C3044" s="633"/>
      <c r="D3044" s="633"/>
      <c r="E3044" s="633"/>
      <c r="F3044" s="267"/>
      <c r="G3044" s="233"/>
      <c r="H3044" s="231">
        <f t="shared" si="94"/>
        <v>0</v>
      </c>
      <c r="I3044" s="231">
        <f t="shared" si="95"/>
        <v>0</v>
      </c>
    </row>
    <row r="3045" spans="1:12" hidden="1">
      <c r="A3045" s="1569"/>
      <c r="B3045" s="107"/>
      <c r="C3045" s="256"/>
      <c r="D3045" s="256"/>
      <c r="E3045" s="256"/>
      <c r="F3045" s="267"/>
      <c r="G3045" s="233"/>
      <c r="H3045" s="231">
        <f t="shared" si="94"/>
        <v>0</v>
      </c>
      <c r="I3045" s="231">
        <f t="shared" si="95"/>
        <v>0</v>
      </c>
    </row>
    <row r="3046" spans="1:12" hidden="1">
      <c r="A3046" s="1569"/>
      <c r="B3046" s="107"/>
      <c r="C3046" s="256"/>
      <c r="D3046" s="256"/>
      <c r="E3046" s="256"/>
      <c r="F3046" s="267"/>
      <c r="G3046" s="233"/>
      <c r="H3046" s="231">
        <f t="shared" si="94"/>
        <v>0</v>
      </c>
      <c r="I3046" s="231">
        <f t="shared" si="95"/>
        <v>0</v>
      </c>
    </row>
    <row r="3047" spans="1:12" hidden="1">
      <c r="A3047" s="1569"/>
      <c r="B3047" s="107"/>
      <c r="C3047" s="256"/>
      <c r="D3047" s="256"/>
      <c r="E3047" s="256"/>
      <c r="F3047" s="267"/>
      <c r="G3047" s="233"/>
      <c r="H3047" s="231">
        <f t="shared" si="94"/>
        <v>0</v>
      </c>
      <c r="I3047" s="231">
        <f t="shared" si="95"/>
        <v>0</v>
      </c>
    </row>
    <row r="3048" spans="1:12" hidden="1">
      <c r="A3048" s="1569"/>
      <c r="B3048" s="107"/>
      <c r="C3048" s="256"/>
      <c r="D3048" s="256"/>
      <c r="E3048" s="256"/>
      <c r="F3048" s="267"/>
      <c r="G3048" s="233"/>
      <c r="H3048" s="231">
        <f t="shared" si="94"/>
        <v>0</v>
      </c>
      <c r="I3048" s="231">
        <f t="shared" si="95"/>
        <v>0</v>
      </c>
    </row>
    <row r="3049" spans="1:12" hidden="1">
      <c r="A3049" s="1569"/>
      <c r="B3049" s="107"/>
      <c r="C3049" s="649"/>
      <c r="D3049" s="649"/>
      <c r="E3049" s="256"/>
      <c r="F3049" s="267"/>
      <c r="G3049" s="233"/>
      <c r="H3049" s="231">
        <f t="shared" si="94"/>
        <v>0</v>
      </c>
      <c r="I3049" s="231">
        <f t="shared" si="95"/>
        <v>0</v>
      </c>
    </row>
    <row r="3050" spans="1:12" hidden="1">
      <c r="A3050" s="1569"/>
      <c r="B3050" s="107"/>
      <c r="C3050" s="649"/>
      <c r="D3050" s="649"/>
      <c r="E3050" s="256"/>
      <c r="F3050" s="267"/>
      <c r="G3050" s="233"/>
      <c r="H3050" s="231">
        <f t="shared" si="94"/>
        <v>0</v>
      </c>
      <c r="I3050" s="231">
        <f t="shared" si="95"/>
        <v>0</v>
      </c>
    </row>
    <row r="3051" spans="1:12" hidden="1">
      <c r="A3051" s="1569"/>
      <c r="B3051" s="107"/>
      <c r="C3051" s="649"/>
      <c r="D3051" s="649"/>
      <c r="E3051" s="256"/>
      <c r="F3051" s="267"/>
      <c r="G3051" s="233"/>
      <c r="H3051" s="231">
        <f t="shared" si="94"/>
        <v>0</v>
      </c>
      <c r="I3051" s="231">
        <f t="shared" si="95"/>
        <v>0</v>
      </c>
    </row>
    <row r="3052" spans="1:12" hidden="1">
      <c r="A3052" s="1569"/>
      <c r="B3052" s="371"/>
      <c r="C3052" s="665"/>
      <c r="D3052" s="665"/>
      <c r="E3052" s="665"/>
      <c r="F3052" s="267"/>
      <c r="G3052" s="233"/>
      <c r="H3052" s="231">
        <f t="shared" si="94"/>
        <v>0</v>
      </c>
      <c r="I3052" s="231">
        <f t="shared" si="95"/>
        <v>0</v>
      </c>
    </row>
    <row r="3053" spans="1:12" hidden="1">
      <c r="A3053" s="1569"/>
      <c r="B3053" s="821"/>
      <c r="C3053" s="851"/>
      <c r="D3053" s="851"/>
      <c r="E3053" s="852"/>
      <c r="F3053" s="267"/>
      <c r="G3053" s="233"/>
      <c r="H3053" s="231">
        <f t="shared" si="94"/>
        <v>0</v>
      </c>
      <c r="I3053" s="231">
        <f t="shared" si="95"/>
        <v>0</v>
      </c>
    </row>
    <row r="3054" spans="1:12" hidden="1">
      <c r="A3054" s="1569"/>
      <c r="B3054" s="821"/>
      <c r="C3054" s="851"/>
      <c r="D3054" s="851"/>
      <c r="E3054" s="851"/>
      <c r="F3054" s="267"/>
      <c r="G3054" s="233"/>
      <c r="H3054" s="231">
        <f t="shared" si="94"/>
        <v>0</v>
      </c>
      <c r="I3054" s="231">
        <f t="shared" si="95"/>
        <v>0</v>
      </c>
    </row>
    <row r="3055" spans="1:12" hidden="1">
      <c r="A3055" s="1569"/>
      <c r="B3055" s="821"/>
      <c r="C3055" s="851"/>
      <c r="D3055" s="851"/>
      <c r="E3055" s="852"/>
      <c r="F3055" s="267"/>
      <c r="G3055" s="233"/>
      <c r="H3055" s="231">
        <f t="shared" si="94"/>
        <v>0</v>
      </c>
      <c r="I3055" s="231">
        <f t="shared" si="95"/>
        <v>0</v>
      </c>
    </row>
    <row r="3056" spans="1:12" hidden="1">
      <c r="A3056" s="1569"/>
      <c r="B3056" s="821"/>
      <c r="C3056" s="851"/>
      <c r="D3056" s="851"/>
      <c r="E3056" s="852"/>
      <c r="F3056" s="267"/>
      <c r="G3056" s="233"/>
      <c r="H3056" s="231">
        <f t="shared" si="94"/>
        <v>0</v>
      </c>
      <c r="I3056" s="231">
        <f t="shared" si="95"/>
        <v>0</v>
      </c>
    </row>
    <row r="3057" spans="1:9" hidden="1">
      <c r="A3057" s="1569"/>
      <c r="B3057" s="371"/>
      <c r="C3057" s="850"/>
      <c r="D3057" s="851"/>
      <c r="E3057" s="852"/>
      <c r="F3057" s="267"/>
      <c r="G3057" s="233"/>
      <c r="H3057" s="231">
        <f t="shared" si="94"/>
        <v>0</v>
      </c>
      <c r="I3057" s="231">
        <f t="shared" si="95"/>
        <v>0</v>
      </c>
    </row>
    <row r="3058" spans="1:9" hidden="1">
      <c r="A3058" s="1569"/>
      <c r="B3058" s="821"/>
      <c r="C3058" s="851"/>
      <c r="D3058" s="851"/>
      <c r="E3058" s="852"/>
      <c r="F3058" s="267"/>
      <c r="G3058" s="233"/>
      <c r="H3058" s="231">
        <f t="shared" si="94"/>
        <v>0</v>
      </c>
      <c r="I3058" s="231">
        <f t="shared" si="95"/>
        <v>0</v>
      </c>
    </row>
    <row r="3059" spans="1:9" hidden="1">
      <c r="A3059" s="1569"/>
      <c r="B3059" s="821"/>
      <c r="C3059" s="851"/>
      <c r="D3059" s="851"/>
      <c r="E3059" s="851"/>
      <c r="F3059" s="267"/>
      <c r="G3059" s="233"/>
      <c r="H3059" s="231">
        <f t="shared" si="94"/>
        <v>0</v>
      </c>
      <c r="I3059" s="231">
        <f t="shared" si="95"/>
        <v>0</v>
      </c>
    </row>
    <row r="3060" spans="1:9" hidden="1">
      <c r="A3060" s="1569"/>
      <c r="B3060" s="821"/>
      <c r="C3060" s="851"/>
      <c r="D3060" s="851"/>
      <c r="E3060" s="852"/>
      <c r="F3060" s="267"/>
      <c r="G3060" s="233"/>
      <c r="H3060" s="231">
        <f t="shared" si="94"/>
        <v>0</v>
      </c>
      <c r="I3060" s="231">
        <f t="shared" si="95"/>
        <v>0</v>
      </c>
    </row>
    <row r="3061" spans="1:9" hidden="1">
      <c r="A3061" s="1569"/>
      <c r="B3061" s="371"/>
      <c r="C3061" s="844"/>
      <c r="D3061" s="844"/>
      <c r="E3061" s="844"/>
      <c r="F3061" s="267"/>
      <c r="G3061" s="233"/>
      <c r="H3061" s="231">
        <f t="shared" si="94"/>
        <v>0</v>
      </c>
      <c r="I3061" s="231">
        <f t="shared" si="95"/>
        <v>0</v>
      </c>
    </row>
    <row r="3062" spans="1:9" hidden="1">
      <c r="A3062" s="1569"/>
      <c r="B3062" s="369"/>
      <c r="C3062" s="661"/>
      <c r="D3062" s="661"/>
      <c r="E3062" s="662"/>
      <c r="F3062" s="267"/>
      <c r="G3062" s="233"/>
      <c r="H3062" s="231">
        <f t="shared" si="94"/>
        <v>0</v>
      </c>
      <c r="I3062" s="231">
        <f t="shared" si="95"/>
        <v>0</v>
      </c>
    </row>
    <row r="3063" spans="1:9" hidden="1">
      <c r="A3063" s="1569"/>
      <c r="B3063" s="369"/>
      <c r="C3063" s="661"/>
      <c r="D3063" s="661"/>
      <c r="E3063" s="662"/>
      <c r="F3063" s="267"/>
      <c r="G3063" s="233"/>
      <c r="H3063" s="231">
        <f t="shared" si="94"/>
        <v>0</v>
      </c>
      <c r="I3063" s="231">
        <f t="shared" si="95"/>
        <v>0</v>
      </c>
    </row>
    <row r="3064" spans="1:9" hidden="1">
      <c r="A3064" s="1569"/>
      <c r="B3064" s="369"/>
      <c r="C3064" s="661"/>
      <c r="D3064" s="661"/>
      <c r="E3064" s="662"/>
      <c r="F3064" s="267"/>
      <c r="G3064" s="233"/>
      <c r="H3064" s="231">
        <f t="shared" si="94"/>
        <v>0</v>
      </c>
      <c r="I3064" s="231">
        <f t="shared" si="95"/>
        <v>0</v>
      </c>
    </row>
    <row r="3065" spans="1:9" hidden="1">
      <c r="A3065" s="1569"/>
      <c r="B3065" s="369"/>
      <c r="C3065" s="661"/>
      <c r="D3065" s="661"/>
      <c r="E3065" s="662"/>
      <c r="F3065" s="267"/>
      <c r="G3065" s="233"/>
      <c r="H3065" s="231">
        <f t="shared" si="94"/>
        <v>0</v>
      </c>
      <c r="I3065" s="231">
        <f t="shared" si="95"/>
        <v>0</v>
      </c>
    </row>
    <row r="3066" spans="1:9" hidden="1">
      <c r="A3066" s="1569"/>
      <c r="B3066" s="382"/>
      <c r="C3066" s="678"/>
      <c r="D3066" s="678"/>
      <c r="E3066" s="678"/>
      <c r="F3066" s="267"/>
      <c r="G3066" s="233"/>
      <c r="H3066" s="231">
        <f t="shared" si="94"/>
        <v>0</v>
      </c>
      <c r="I3066" s="231">
        <f t="shared" si="95"/>
        <v>0</v>
      </c>
    </row>
    <row r="3067" spans="1:9" hidden="1">
      <c r="A3067" s="1569"/>
      <c r="B3067" s="382"/>
      <c r="C3067" s="678"/>
      <c r="D3067" s="678"/>
      <c r="E3067" s="678"/>
      <c r="F3067" s="267"/>
      <c r="G3067" s="233"/>
      <c r="H3067" s="231">
        <f t="shared" si="94"/>
        <v>0</v>
      </c>
      <c r="I3067" s="231">
        <f t="shared" si="95"/>
        <v>0</v>
      </c>
    </row>
    <row r="3068" spans="1:9" hidden="1">
      <c r="A3068" s="1569"/>
      <c r="B3068" s="385"/>
      <c r="C3068" s="638"/>
      <c r="D3068" s="638"/>
      <c r="E3068" s="639"/>
      <c r="F3068" s="267"/>
      <c r="G3068" s="233"/>
      <c r="H3068" s="231">
        <f t="shared" si="94"/>
        <v>0</v>
      </c>
      <c r="I3068" s="231">
        <f t="shared" si="95"/>
        <v>0</v>
      </c>
    </row>
    <row r="3069" spans="1:9" hidden="1">
      <c r="A3069" s="1569"/>
      <c r="B3069" s="385"/>
      <c r="C3069" s="638"/>
      <c r="D3069" s="638"/>
      <c r="E3069" s="639"/>
      <c r="F3069" s="267"/>
      <c r="G3069" s="233"/>
      <c r="H3069" s="231">
        <f t="shared" si="94"/>
        <v>0</v>
      </c>
      <c r="I3069" s="231">
        <f t="shared" si="95"/>
        <v>0</v>
      </c>
    </row>
    <row r="3070" spans="1:9" hidden="1">
      <c r="A3070" s="1569"/>
      <c r="B3070" s="385"/>
      <c r="C3070" s="638"/>
      <c r="D3070" s="638"/>
      <c r="E3070" s="639"/>
      <c r="F3070" s="267"/>
      <c r="G3070" s="233"/>
      <c r="H3070" s="231">
        <f t="shared" si="94"/>
        <v>0</v>
      </c>
      <c r="I3070" s="231">
        <f t="shared" si="95"/>
        <v>0</v>
      </c>
    </row>
    <row r="3071" spans="1:9" hidden="1">
      <c r="A3071" s="1569"/>
      <c r="B3071" s="385"/>
      <c r="C3071" s="638"/>
      <c r="D3071" s="638"/>
      <c r="E3071" s="639"/>
      <c r="F3071" s="267"/>
      <c r="G3071" s="233"/>
      <c r="H3071" s="231">
        <f t="shared" si="94"/>
        <v>0</v>
      </c>
      <c r="I3071" s="231">
        <f t="shared" si="95"/>
        <v>0</v>
      </c>
    </row>
    <row r="3072" spans="1:9" hidden="1">
      <c r="A3072" s="1569"/>
      <c r="B3072" s="385"/>
      <c r="C3072" s="638"/>
      <c r="D3072" s="638"/>
      <c r="E3072" s="639"/>
      <c r="F3072" s="267"/>
      <c r="G3072" s="233"/>
      <c r="H3072" s="231">
        <f t="shared" si="94"/>
        <v>0</v>
      </c>
      <c r="I3072" s="231">
        <f t="shared" si="95"/>
        <v>0</v>
      </c>
    </row>
    <row r="3073" spans="1:12" hidden="1">
      <c r="A3073" s="1569"/>
      <c r="B3073" s="385"/>
      <c r="C3073" s="638"/>
      <c r="D3073" s="638"/>
      <c r="E3073" s="639"/>
      <c r="F3073" s="267"/>
      <c r="G3073" s="233"/>
      <c r="H3073" s="231">
        <f t="shared" si="94"/>
        <v>0</v>
      </c>
      <c r="I3073" s="231">
        <f t="shared" si="95"/>
        <v>0</v>
      </c>
    </row>
    <row r="3074" spans="1:12" hidden="1">
      <c r="A3074" s="1569"/>
      <c r="B3074" s="393"/>
      <c r="C3074" s="651"/>
      <c r="D3074" s="692"/>
      <c r="E3074" s="692"/>
      <c r="F3074" s="267"/>
      <c r="G3074" s="233"/>
      <c r="H3074" s="231">
        <f t="shared" si="94"/>
        <v>0</v>
      </c>
      <c r="I3074" s="231">
        <f t="shared" si="95"/>
        <v>0</v>
      </c>
    </row>
    <row r="3075" spans="1:12" hidden="1">
      <c r="A3075" s="1569"/>
      <c r="B3075" s="369"/>
      <c r="C3075" s="661"/>
      <c r="D3075" s="661"/>
      <c r="E3075" s="662"/>
      <c r="F3075" s="267"/>
      <c r="G3075" s="233"/>
      <c r="H3075" s="231">
        <f t="shared" si="94"/>
        <v>0</v>
      </c>
      <c r="I3075" s="231">
        <f t="shared" si="95"/>
        <v>0</v>
      </c>
    </row>
    <row r="3076" spans="1:12" hidden="1">
      <c r="A3076" s="1569"/>
      <c r="B3076" s="107"/>
      <c r="C3076" s="654"/>
      <c r="D3076" s="654"/>
      <c r="E3076" s="256"/>
      <c r="F3076" s="267"/>
      <c r="G3076" s="233"/>
      <c r="H3076" s="231">
        <f t="shared" si="94"/>
        <v>0</v>
      </c>
      <c r="I3076" s="231">
        <f t="shared" si="95"/>
        <v>0</v>
      </c>
    </row>
    <row r="3077" spans="1:12" hidden="1">
      <c r="A3077" s="1569"/>
      <c r="B3077" s="107"/>
      <c r="C3077" s="654"/>
      <c r="D3077" s="654"/>
      <c r="E3077" s="256"/>
      <c r="F3077" s="267"/>
      <c r="G3077" s="233"/>
      <c r="H3077" s="231">
        <f t="shared" si="94"/>
        <v>0</v>
      </c>
      <c r="I3077" s="231">
        <f t="shared" si="95"/>
        <v>0</v>
      </c>
    </row>
    <row r="3078" spans="1:12" hidden="1">
      <c r="A3078" s="1569"/>
      <c r="B3078" s="107"/>
      <c r="C3078" s="654"/>
      <c r="D3078" s="654"/>
      <c r="E3078" s="256"/>
      <c r="F3078" s="267"/>
      <c r="G3078" s="233"/>
      <c r="H3078" s="231">
        <f t="shared" si="94"/>
        <v>0</v>
      </c>
      <c r="I3078" s="231">
        <f t="shared" si="95"/>
        <v>0</v>
      </c>
    </row>
    <row r="3079" spans="1:12" hidden="1">
      <c r="A3079" s="1569"/>
      <c r="B3079" s="107"/>
      <c r="C3079" s="654"/>
      <c r="D3079" s="654"/>
      <c r="E3079" s="256"/>
      <c r="F3079" s="267"/>
      <c r="G3079" s="233"/>
      <c r="H3079" s="231">
        <f t="shared" si="94"/>
        <v>0</v>
      </c>
      <c r="I3079" s="231">
        <f t="shared" si="95"/>
        <v>0</v>
      </c>
    </row>
    <row r="3080" spans="1:12">
      <c r="A3080" s="1659"/>
      <c r="B3080" s="209" t="s">
        <v>985</v>
      </c>
      <c r="C3080" s="581">
        <f>SUM(C3029:C3079)</f>
        <v>809224</v>
      </c>
      <c r="D3080" s="581">
        <f>SUM(D3029:D3079)</f>
        <v>533224</v>
      </c>
      <c r="E3080" s="581">
        <f>SUM(E3029:E3079)</f>
        <v>276000</v>
      </c>
      <c r="F3080" s="267"/>
      <c r="G3080" s="233"/>
      <c r="H3080" s="1497">
        <f t="shared" si="94"/>
        <v>0</v>
      </c>
      <c r="I3080" s="1497">
        <f t="shared" si="95"/>
        <v>1618448</v>
      </c>
      <c r="J3080" s="1440"/>
      <c r="K3080" s="1490"/>
      <c r="L3080" s="1490"/>
    </row>
    <row r="3081" spans="1:12" ht="37.5">
      <c r="A3081" s="1568" t="s">
        <v>1107</v>
      </c>
      <c r="B3081" s="1215" t="s">
        <v>1453</v>
      </c>
      <c r="C3081" s="1214">
        <v>480000</v>
      </c>
      <c r="D3081" s="256"/>
      <c r="E3081" s="256">
        <v>480000</v>
      </c>
      <c r="F3081" s="267"/>
      <c r="G3081" s="233"/>
      <c r="H3081" s="1497">
        <f t="shared" ref="H3081:H3144" si="96">E3081+D3081-C3081</f>
        <v>0</v>
      </c>
      <c r="I3081" s="1497">
        <f t="shared" ref="I3081:I3144" si="97">SUM(C3081:E3081)</f>
        <v>960000</v>
      </c>
      <c r="J3081" s="1440"/>
      <c r="K3081" s="1490"/>
      <c r="L3081" s="1490"/>
    </row>
    <row r="3082" spans="1:12" ht="56.25">
      <c r="A3082" s="1569"/>
      <c r="B3082" s="107" t="s">
        <v>1790</v>
      </c>
      <c r="C3082" s="817">
        <v>25112</v>
      </c>
      <c r="D3082" s="817">
        <v>25112</v>
      </c>
      <c r="E3082" s="184"/>
      <c r="F3082" s="267"/>
      <c r="G3082" s="233"/>
      <c r="H3082" s="1497">
        <f t="shared" si="96"/>
        <v>0</v>
      </c>
      <c r="I3082" s="1497">
        <f t="shared" si="97"/>
        <v>50224</v>
      </c>
      <c r="J3082" s="1440"/>
      <c r="K3082" s="1490"/>
      <c r="L3082" s="1490"/>
    </row>
    <row r="3083" spans="1:12" ht="56.25">
      <c r="A3083" s="1569"/>
      <c r="B3083" s="1231" t="s">
        <v>1791</v>
      </c>
      <c r="C3083" s="817">
        <v>110000</v>
      </c>
      <c r="D3083" s="817"/>
      <c r="E3083" s="184">
        <v>110000</v>
      </c>
      <c r="F3083" s="267"/>
      <c r="G3083" s="233"/>
      <c r="H3083" s="1497">
        <f t="shared" si="96"/>
        <v>0</v>
      </c>
      <c r="I3083" s="1497">
        <f t="shared" si="97"/>
        <v>220000</v>
      </c>
      <c r="J3083" s="1440"/>
      <c r="K3083" s="1490"/>
      <c r="L3083" s="1490"/>
    </row>
    <row r="3084" spans="1:12" ht="75">
      <c r="A3084" s="1569"/>
      <c r="B3084" s="1231" t="s">
        <v>1792</v>
      </c>
      <c r="C3084" s="817">
        <v>9112</v>
      </c>
      <c r="D3084" s="817">
        <v>9112</v>
      </c>
      <c r="E3084" s="184"/>
      <c r="F3084" s="267"/>
      <c r="G3084" s="233"/>
      <c r="H3084" s="1497">
        <f t="shared" si="96"/>
        <v>0</v>
      </c>
      <c r="I3084" s="1497">
        <f t="shared" si="97"/>
        <v>18224</v>
      </c>
      <c r="J3084" s="1440"/>
      <c r="K3084" s="1490"/>
      <c r="L3084" s="1490"/>
    </row>
    <row r="3085" spans="1:12" ht="75">
      <c r="A3085" s="1569"/>
      <c r="B3085" s="107" t="s">
        <v>1793</v>
      </c>
      <c r="C3085" s="817">
        <v>15000</v>
      </c>
      <c r="D3085" s="817"/>
      <c r="E3085" s="184">
        <v>15000</v>
      </c>
      <c r="F3085" s="267"/>
      <c r="G3085" s="233"/>
      <c r="H3085" s="1497">
        <f t="shared" si="96"/>
        <v>0</v>
      </c>
      <c r="I3085" s="1497">
        <f t="shared" si="97"/>
        <v>30000</v>
      </c>
      <c r="J3085" s="1440"/>
      <c r="K3085" s="1490"/>
      <c r="L3085" s="1490"/>
    </row>
    <row r="3086" spans="1:12" ht="56.25">
      <c r="A3086" s="1569"/>
      <c r="B3086" s="107" t="s">
        <v>1794</v>
      </c>
      <c r="C3086" s="817">
        <v>10000</v>
      </c>
      <c r="D3086" s="817"/>
      <c r="E3086" s="184">
        <v>10000</v>
      </c>
      <c r="F3086" s="267"/>
      <c r="G3086" s="233"/>
      <c r="H3086" s="1497">
        <f t="shared" si="96"/>
        <v>0</v>
      </c>
      <c r="I3086" s="1497">
        <f t="shared" si="97"/>
        <v>20000</v>
      </c>
      <c r="J3086" s="1440"/>
      <c r="K3086" s="1490"/>
      <c r="L3086" s="1490"/>
    </row>
    <row r="3087" spans="1:12" hidden="1">
      <c r="A3087" s="1569"/>
      <c r="B3087" s="107"/>
      <c r="C3087" s="589"/>
      <c r="D3087" s="589"/>
      <c r="E3087" s="510"/>
      <c r="F3087" s="267"/>
      <c r="G3087" s="233"/>
      <c r="H3087" s="231">
        <f t="shared" si="96"/>
        <v>0</v>
      </c>
      <c r="I3087" s="231">
        <f t="shared" si="97"/>
        <v>0</v>
      </c>
    </row>
    <row r="3088" spans="1:12" s="374" customFormat="1" hidden="1">
      <c r="A3088" s="1569"/>
      <c r="B3088" s="617"/>
      <c r="C3088" s="633"/>
      <c r="D3088" s="633"/>
      <c r="E3088" s="633"/>
      <c r="F3088" s="373"/>
      <c r="G3088" s="373"/>
      <c r="H3088" s="231">
        <f t="shared" si="96"/>
        <v>0</v>
      </c>
      <c r="I3088" s="231">
        <f t="shared" si="97"/>
        <v>0</v>
      </c>
    </row>
    <row r="3089" spans="1:9" hidden="1">
      <c r="A3089" s="1569"/>
      <c r="B3089" s="107"/>
      <c r="C3089" s="256"/>
      <c r="D3089" s="256"/>
      <c r="E3089" s="256"/>
      <c r="F3089" s="267"/>
      <c r="G3089" s="233"/>
      <c r="H3089" s="231">
        <f t="shared" si="96"/>
        <v>0</v>
      </c>
      <c r="I3089" s="231">
        <f t="shared" si="97"/>
        <v>0</v>
      </c>
    </row>
    <row r="3090" spans="1:9" hidden="1">
      <c r="A3090" s="1569"/>
      <c r="B3090" s="107"/>
      <c r="C3090" s="256"/>
      <c r="D3090" s="256"/>
      <c r="E3090" s="256"/>
      <c r="F3090" s="267"/>
      <c r="G3090" s="233"/>
      <c r="H3090" s="231">
        <f t="shared" si="96"/>
        <v>0</v>
      </c>
      <c r="I3090" s="231">
        <f t="shared" si="97"/>
        <v>0</v>
      </c>
    </row>
    <row r="3091" spans="1:9" hidden="1">
      <c r="A3091" s="1569"/>
      <c r="B3091" s="107"/>
      <c r="C3091" s="256"/>
      <c r="D3091" s="256"/>
      <c r="E3091" s="256"/>
      <c r="F3091" s="267"/>
      <c r="G3091" s="233"/>
      <c r="H3091" s="231">
        <f t="shared" si="96"/>
        <v>0</v>
      </c>
      <c r="I3091" s="231">
        <f t="shared" si="97"/>
        <v>0</v>
      </c>
    </row>
    <row r="3092" spans="1:9" hidden="1">
      <c r="A3092" s="1569"/>
      <c r="B3092" s="107"/>
      <c r="C3092" s="256"/>
      <c r="D3092" s="256"/>
      <c r="E3092" s="256"/>
      <c r="F3092" s="267"/>
      <c r="G3092" s="233"/>
      <c r="H3092" s="231">
        <f t="shared" si="96"/>
        <v>0</v>
      </c>
      <c r="I3092" s="231">
        <f t="shared" si="97"/>
        <v>0</v>
      </c>
    </row>
    <row r="3093" spans="1:9" hidden="1">
      <c r="A3093" s="1569"/>
      <c r="B3093" s="107"/>
      <c r="C3093" s="649"/>
      <c r="D3093" s="649"/>
      <c r="E3093" s="256"/>
      <c r="F3093" s="267"/>
      <c r="G3093" s="233"/>
      <c r="H3093" s="231">
        <f t="shared" si="96"/>
        <v>0</v>
      </c>
      <c r="I3093" s="231">
        <f t="shared" si="97"/>
        <v>0</v>
      </c>
    </row>
    <row r="3094" spans="1:9" hidden="1">
      <c r="A3094" s="1569"/>
      <c r="B3094" s="371"/>
      <c r="C3094" s="846"/>
      <c r="D3094" s="846"/>
      <c r="E3094" s="849"/>
      <c r="F3094" s="267"/>
      <c r="G3094" s="233"/>
      <c r="H3094" s="231">
        <f t="shared" si="96"/>
        <v>0</v>
      </c>
      <c r="I3094" s="231">
        <f t="shared" si="97"/>
        <v>0</v>
      </c>
    </row>
    <row r="3095" spans="1:9" hidden="1">
      <c r="A3095" s="1569"/>
      <c r="B3095" s="371"/>
      <c r="C3095" s="846"/>
      <c r="D3095" s="846"/>
      <c r="E3095" s="849"/>
      <c r="F3095" s="267"/>
      <c r="G3095" s="233"/>
      <c r="H3095" s="231">
        <f t="shared" si="96"/>
        <v>0</v>
      </c>
      <c r="I3095" s="231">
        <f t="shared" si="97"/>
        <v>0</v>
      </c>
    </row>
    <row r="3096" spans="1:9" hidden="1">
      <c r="A3096" s="1569"/>
      <c r="B3096" s="371"/>
      <c r="C3096" s="846"/>
      <c r="D3096" s="846"/>
      <c r="E3096" s="846"/>
      <c r="F3096" s="267"/>
      <c r="G3096" s="233"/>
      <c r="H3096" s="231">
        <f t="shared" si="96"/>
        <v>0</v>
      </c>
      <c r="I3096" s="231">
        <f t="shared" si="97"/>
        <v>0</v>
      </c>
    </row>
    <row r="3097" spans="1:9" hidden="1">
      <c r="A3097" s="1569"/>
      <c r="B3097" s="371"/>
      <c r="C3097" s="846"/>
      <c r="D3097" s="846"/>
      <c r="E3097" s="846"/>
      <c r="F3097" s="267"/>
      <c r="G3097" s="233"/>
      <c r="H3097" s="231">
        <f t="shared" si="96"/>
        <v>0</v>
      </c>
      <c r="I3097" s="231">
        <f t="shared" si="97"/>
        <v>0</v>
      </c>
    </row>
    <row r="3098" spans="1:9" hidden="1">
      <c r="A3098" s="1569"/>
      <c r="B3098" s="385"/>
      <c r="C3098" s="638"/>
      <c r="D3098" s="638"/>
      <c r="E3098" s="639"/>
      <c r="F3098" s="267"/>
      <c r="G3098" s="233"/>
      <c r="H3098" s="231">
        <f t="shared" si="96"/>
        <v>0</v>
      </c>
      <c r="I3098" s="231">
        <f t="shared" si="97"/>
        <v>0</v>
      </c>
    </row>
    <row r="3099" spans="1:9" hidden="1">
      <c r="A3099" s="1569"/>
      <c r="B3099" s="385"/>
      <c r="C3099" s="638"/>
      <c r="D3099" s="638"/>
      <c r="E3099" s="639"/>
      <c r="F3099" s="267"/>
      <c r="G3099" s="233"/>
      <c r="H3099" s="231">
        <f t="shared" si="96"/>
        <v>0</v>
      </c>
      <c r="I3099" s="231">
        <f t="shared" si="97"/>
        <v>0</v>
      </c>
    </row>
    <row r="3100" spans="1:9" hidden="1">
      <c r="A3100" s="1569"/>
      <c r="B3100" s="385"/>
      <c r="C3100" s="638"/>
      <c r="D3100" s="638"/>
      <c r="E3100" s="639"/>
      <c r="F3100" s="267"/>
      <c r="G3100" s="233"/>
      <c r="H3100" s="231">
        <f t="shared" si="96"/>
        <v>0</v>
      </c>
      <c r="I3100" s="231">
        <f t="shared" si="97"/>
        <v>0</v>
      </c>
    </row>
    <row r="3101" spans="1:9" hidden="1">
      <c r="A3101" s="1569"/>
      <c r="B3101" s="385"/>
      <c r="C3101" s="638"/>
      <c r="D3101" s="638"/>
      <c r="E3101" s="639"/>
      <c r="F3101" s="267"/>
      <c r="G3101" s="233"/>
      <c r="H3101" s="231">
        <f t="shared" si="96"/>
        <v>0</v>
      </c>
      <c r="I3101" s="231">
        <f t="shared" si="97"/>
        <v>0</v>
      </c>
    </row>
    <row r="3102" spans="1:9" hidden="1">
      <c r="A3102" s="1569"/>
      <c r="B3102" s="385"/>
      <c r="C3102" s="638"/>
      <c r="D3102" s="638"/>
      <c r="E3102" s="639"/>
      <c r="F3102" s="267"/>
      <c r="G3102" s="233"/>
      <c r="H3102" s="231">
        <f t="shared" si="96"/>
        <v>0</v>
      </c>
      <c r="I3102" s="231">
        <f t="shared" si="97"/>
        <v>0</v>
      </c>
    </row>
    <row r="3103" spans="1:9" hidden="1">
      <c r="A3103" s="1569"/>
      <c r="B3103" s="385"/>
      <c r="C3103" s="638"/>
      <c r="D3103" s="638"/>
      <c r="E3103" s="639"/>
      <c r="F3103" s="267"/>
      <c r="G3103" s="233"/>
      <c r="H3103" s="231">
        <f t="shared" si="96"/>
        <v>0</v>
      </c>
      <c r="I3103" s="231">
        <f t="shared" si="97"/>
        <v>0</v>
      </c>
    </row>
    <row r="3104" spans="1:9" hidden="1">
      <c r="A3104" s="1569"/>
      <c r="B3104" s="107"/>
      <c r="C3104" s="654"/>
      <c r="D3104" s="654"/>
      <c r="E3104" s="256"/>
      <c r="F3104" s="267"/>
      <c r="G3104" s="233"/>
      <c r="H3104" s="231">
        <f t="shared" si="96"/>
        <v>0</v>
      </c>
      <c r="I3104" s="231">
        <f t="shared" si="97"/>
        <v>0</v>
      </c>
    </row>
    <row r="3105" spans="1:12" hidden="1">
      <c r="A3105" s="1569"/>
      <c r="B3105" s="107"/>
      <c r="C3105" s="654"/>
      <c r="D3105" s="654"/>
      <c r="E3105" s="256"/>
      <c r="F3105" s="267"/>
      <c r="G3105" s="233"/>
      <c r="H3105" s="231">
        <f t="shared" si="96"/>
        <v>0</v>
      </c>
      <c r="I3105" s="231">
        <f t="shared" si="97"/>
        <v>0</v>
      </c>
    </row>
    <row r="3106" spans="1:12" hidden="1">
      <c r="A3106" s="1569"/>
      <c r="B3106" s="107"/>
      <c r="C3106" s="654"/>
      <c r="D3106" s="654"/>
      <c r="E3106" s="256"/>
      <c r="F3106" s="267"/>
      <c r="G3106" s="233"/>
      <c r="H3106" s="231">
        <f t="shared" si="96"/>
        <v>0</v>
      </c>
      <c r="I3106" s="231">
        <f t="shared" si="97"/>
        <v>0</v>
      </c>
    </row>
    <row r="3107" spans="1:12" hidden="1">
      <c r="A3107" s="1569"/>
      <c r="B3107" s="107"/>
      <c r="C3107" s="654"/>
      <c r="D3107" s="654"/>
      <c r="E3107" s="256"/>
      <c r="F3107" s="267"/>
      <c r="G3107" s="233"/>
      <c r="H3107" s="231">
        <f t="shared" si="96"/>
        <v>0</v>
      </c>
      <c r="I3107" s="231">
        <f t="shared" si="97"/>
        <v>0</v>
      </c>
    </row>
    <row r="3108" spans="1:12" hidden="1">
      <c r="A3108" s="1569"/>
      <c r="B3108" s="107"/>
      <c r="C3108" s="654"/>
      <c r="D3108" s="654"/>
      <c r="E3108" s="256"/>
      <c r="F3108" s="267"/>
      <c r="G3108" s="233"/>
      <c r="H3108" s="231">
        <f t="shared" si="96"/>
        <v>0</v>
      </c>
      <c r="I3108" s="231">
        <f t="shared" si="97"/>
        <v>0</v>
      </c>
    </row>
    <row r="3109" spans="1:12" hidden="1">
      <c r="A3109" s="1569"/>
      <c r="B3109" s="107"/>
      <c r="C3109" s="654"/>
      <c r="D3109" s="654"/>
      <c r="E3109" s="256"/>
      <c r="F3109" s="267"/>
      <c r="G3109" s="233"/>
      <c r="H3109" s="231">
        <f t="shared" si="96"/>
        <v>0</v>
      </c>
      <c r="I3109" s="231">
        <f t="shared" si="97"/>
        <v>0</v>
      </c>
    </row>
    <row r="3110" spans="1:12" hidden="1">
      <c r="A3110" s="1569"/>
      <c r="B3110" s="107"/>
      <c r="C3110" s="654"/>
      <c r="D3110" s="654"/>
      <c r="E3110" s="256"/>
      <c r="F3110" s="267"/>
      <c r="G3110" s="233"/>
      <c r="H3110" s="231">
        <f t="shared" si="96"/>
        <v>0</v>
      </c>
      <c r="I3110" s="231">
        <f t="shared" si="97"/>
        <v>0</v>
      </c>
    </row>
    <row r="3111" spans="1:12" hidden="1">
      <c r="A3111" s="1569"/>
      <c r="B3111" s="107"/>
      <c r="C3111" s="654"/>
      <c r="D3111" s="654"/>
      <c r="E3111" s="256"/>
      <c r="F3111" s="267"/>
      <c r="G3111" s="233"/>
      <c r="H3111" s="231">
        <f t="shared" si="96"/>
        <v>0</v>
      </c>
      <c r="I3111" s="231">
        <f t="shared" si="97"/>
        <v>0</v>
      </c>
    </row>
    <row r="3112" spans="1:12" hidden="1">
      <c r="A3112" s="1569"/>
      <c r="B3112" s="107"/>
      <c r="C3112" s="654"/>
      <c r="D3112" s="654"/>
      <c r="E3112" s="256"/>
      <c r="F3112" s="267"/>
      <c r="G3112" s="233"/>
      <c r="H3112" s="231">
        <f t="shared" si="96"/>
        <v>0</v>
      </c>
      <c r="I3112" s="231">
        <f t="shared" si="97"/>
        <v>0</v>
      </c>
    </row>
    <row r="3113" spans="1:12" hidden="1">
      <c r="A3113" s="1569"/>
      <c r="B3113" s="107"/>
      <c r="C3113" s="654"/>
      <c r="D3113" s="654"/>
      <c r="E3113" s="256"/>
      <c r="F3113" s="267"/>
      <c r="G3113" s="233"/>
      <c r="H3113" s="231">
        <f t="shared" si="96"/>
        <v>0</v>
      </c>
      <c r="I3113" s="231">
        <f t="shared" si="97"/>
        <v>0</v>
      </c>
    </row>
    <row r="3114" spans="1:12" hidden="1">
      <c r="A3114" s="1569"/>
      <c r="B3114" s="107"/>
      <c r="C3114" s="654"/>
      <c r="D3114" s="654"/>
      <c r="E3114" s="256"/>
      <c r="F3114" s="267"/>
      <c r="G3114" s="233"/>
      <c r="H3114" s="231">
        <f t="shared" si="96"/>
        <v>0</v>
      </c>
      <c r="I3114" s="231">
        <f t="shared" si="97"/>
        <v>0</v>
      </c>
    </row>
    <row r="3115" spans="1:12">
      <c r="A3115" s="1659"/>
      <c r="B3115" s="209" t="s">
        <v>985</v>
      </c>
      <c r="C3115" s="581">
        <f>SUM(C3081:C3114)</f>
        <v>649224</v>
      </c>
      <c r="D3115" s="581">
        <f>SUM(D3081:D3114)</f>
        <v>34224</v>
      </c>
      <c r="E3115" s="581">
        <f>SUM(E3081:E3114)</f>
        <v>615000</v>
      </c>
      <c r="F3115" s="267"/>
      <c r="G3115" s="233"/>
      <c r="H3115" s="1497">
        <f t="shared" si="96"/>
        <v>0</v>
      </c>
      <c r="I3115" s="1497">
        <f t="shared" si="97"/>
        <v>1298448</v>
      </c>
      <c r="J3115" s="1440"/>
      <c r="K3115" s="1490"/>
      <c r="L3115" s="1490"/>
    </row>
    <row r="3116" spans="1:12" hidden="1">
      <c r="A3116" s="1568" t="s">
        <v>107</v>
      </c>
      <c r="B3116" s="480"/>
      <c r="C3116" s="590"/>
      <c r="D3116" s="590"/>
      <c r="E3116" s="590"/>
      <c r="F3116" s="267"/>
      <c r="G3116" s="233"/>
      <c r="H3116" s="231">
        <f t="shared" si="96"/>
        <v>0</v>
      </c>
      <c r="I3116" s="231">
        <f t="shared" si="97"/>
        <v>0</v>
      </c>
    </row>
    <row r="3117" spans="1:12" hidden="1">
      <c r="A3117" s="1569"/>
      <c r="B3117" s="480"/>
      <c r="C3117" s="590"/>
      <c r="D3117" s="590"/>
      <c r="E3117" s="590"/>
      <c r="F3117" s="267"/>
      <c r="G3117" s="233"/>
      <c r="H3117" s="231">
        <f t="shared" si="96"/>
        <v>0</v>
      </c>
      <c r="I3117" s="231">
        <f t="shared" si="97"/>
        <v>0</v>
      </c>
    </row>
    <row r="3118" spans="1:12" hidden="1">
      <c r="A3118" s="1569"/>
      <c r="B3118" s="107"/>
      <c r="C3118" s="589"/>
      <c r="D3118" s="589"/>
      <c r="E3118" s="589"/>
      <c r="F3118" s="267"/>
      <c r="G3118" s="233"/>
      <c r="H3118" s="231">
        <f t="shared" si="96"/>
        <v>0</v>
      </c>
      <c r="I3118" s="231">
        <f t="shared" si="97"/>
        <v>0</v>
      </c>
    </row>
    <row r="3119" spans="1:12" hidden="1">
      <c r="A3119" s="1569"/>
      <c r="B3119" s="107"/>
      <c r="C3119" s="589"/>
      <c r="D3119" s="589"/>
      <c r="E3119" s="589"/>
      <c r="F3119" s="267"/>
      <c r="G3119" s="233"/>
      <c r="H3119" s="231">
        <f t="shared" si="96"/>
        <v>0</v>
      </c>
      <c r="I3119" s="231">
        <f t="shared" si="97"/>
        <v>0</v>
      </c>
    </row>
    <row r="3120" spans="1:12" hidden="1">
      <c r="A3120" s="1569"/>
      <c r="B3120" s="425"/>
      <c r="C3120" s="649"/>
      <c r="D3120" s="649"/>
      <c r="E3120" s="256"/>
      <c r="F3120" s="267"/>
      <c r="G3120" s="233"/>
      <c r="H3120" s="231">
        <f t="shared" si="96"/>
        <v>0</v>
      </c>
      <c r="I3120" s="231">
        <f t="shared" si="97"/>
        <v>0</v>
      </c>
    </row>
    <row r="3121" spans="1:9" hidden="1">
      <c r="A3121" s="1569"/>
      <c r="B3121" s="425"/>
      <c r="C3121" s="649"/>
      <c r="D3121" s="649"/>
      <c r="E3121" s="256"/>
      <c r="F3121" s="267"/>
      <c r="G3121" s="233"/>
      <c r="H3121" s="231">
        <f t="shared" si="96"/>
        <v>0</v>
      </c>
      <c r="I3121" s="231">
        <f t="shared" si="97"/>
        <v>0</v>
      </c>
    </row>
    <row r="3122" spans="1:9" hidden="1">
      <c r="A3122" s="1569"/>
      <c r="B3122" s="371"/>
      <c r="C3122" s="877"/>
      <c r="D3122" s="877"/>
      <c r="E3122" s="877"/>
      <c r="F3122" s="267"/>
      <c r="G3122" s="233"/>
      <c r="H3122" s="231">
        <f t="shared" si="96"/>
        <v>0</v>
      </c>
      <c r="I3122" s="231">
        <f t="shared" si="97"/>
        <v>0</v>
      </c>
    </row>
    <row r="3123" spans="1:9" hidden="1">
      <c r="A3123" s="1569"/>
      <c r="B3123" s="371"/>
      <c r="C3123" s="664"/>
      <c r="D3123" s="664"/>
      <c r="E3123" s="665"/>
      <c r="F3123" s="267"/>
      <c r="G3123" s="233"/>
      <c r="H3123" s="231">
        <f t="shared" si="96"/>
        <v>0</v>
      </c>
      <c r="I3123" s="231">
        <f t="shared" si="97"/>
        <v>0</v>
      </c>
    </row>
    <row r="3124" spans="1:9" hidden="1">
      <c r="A3124" s="1569"/>
      <c r="B3124" s="385"/>
      <c r="C3124" s="638"/>
      <c r="D3124" s="638"/>
      <c r="E3124" s="639"/>
      <c r="F3124" s="267"/>
      <c r="G3124" s="233"/>
      <c r="H3124" s="231">
        <f t="shared" si="96"/>
        <v>0</v>
      </c>
      <c r="I3124" s="231">
        <f t="shared" si="97"/>
        <v>0</v>
      </c>
    </row>
    <row r="3125" spans="1:9" hidden="1">
      <c r="A3125" s="1569"/>
      <c r="B3125" s="385"/>
      <c r="C3125" s="638"/>
      <c r="D3125" s="638"/>
      <c r="E3125" s="639"/>
      <c r="F3125" s="267"/>
      <c r="G3125" s="233"/>
      <c r="H3125" s="231">
        <f t="shared" si="96"/>
        <v>0</v>
      </c>
      <c r="I3125" s="231">
        <f t="shared" si="97"/>
        <v>0</v>
      </c>
    </row>
    <row r="3126" spans="1:9" hidden="1">
      <c r="A3126" s="1569"/>
      <c r="B3126" s="107"/>
      <c r="C3126" s="654"/>
      <c r="D3126" s="654"/>
      <c r="E3126" s="256"/>
      <c r="F3126" s="267"/>
      <c r="G3126" s="233"/>
      <c r="H3126" s="231">
        <f t="shared" si="96"/>
        <v>0</v>
      </c>
      <c r="I3126" s="231">
        <f t="shared" si="97"/>
        <v>0</v>
      </c>
    </row>
    <row r="3127" spans="1:9" hidden="1">
      <c r="A3127" s="1569"/>
      <c r="B3127" s="107"/>
      <c r="C3127" s="654"/>
      <c r="D3127" s="654"/>
      <c r="E3127" s="256"/>
      <c r="F3127" s="267"/>
      <c r="G3127" s="233"/>
      <c r="H3127" s="231">
        <f t="shared" si="96"/>
        <v>0</v>
      </c>
      <c r="I3127" s="231">
        <f t="shared" si="97"/>
        <v>0</v>
      </c>
    </row>
    <row r="3128" spans="1:9" hidden="1">
      <c r="A3128" s="1569"/>
      <c r="B3128" s="107"/>
      <c r="C3128" s="654"/>
      <c r="D3128" s="654"/>
      <c r="E3128" s="256"/>
      <c r="F3128" s="267"/>
      <c r="G3128" s="233"/>
      <c r="H3128" s="231">
        <f t="shared" si="96"/>
        <v>0</v>
      </c>
      <c r="I3128" s="231">
        <f t="shared" si="97"/>
        <v>0</v>
      </c>
    </row>
    <row r="3129" spans="1:9" hidden="1">
      <c r="A3129" s="1569"/>
      <c r="B3129" s="107"/>
      <c r="C3129" s="654"/>
      <c r="D3129" s="654"/>
      <c r="E3129" s="256"/>
      <c r="F3129" s="267"/>
      <c r="G3129" s="233"/>
      <c r="H3129" s="231">
        <f t="shared" si="96"/>
        <v>0</v>
      </c>
      <c r="I3129" s="231">
        <f t="shared" si="97"/>
        <v>0</v>
      </c>
    </row>
    <row r="3130" spans="1:9" hidden="1">
      <c r="A3130" s="1569"/>
      <c r="B3130" s="116"/>
      <c r="C3130" s="679"/>
      <c r="D3130" s="679"/>
      <c r="E3130" s="256"/>
      <c r="F3130" s="267"/>
      <c r="G3130" s="233"/>
      <c r="H3130" s="231">
        <f t="shared" si="96"/>
        <v>0</v>
      </c>
      <c r="I3130" s="231">
        <f t="shared" si="97"/>
        <v>0</v>
      </c>
    </row>
    <row r="3131" spans="1:9" hidden="1">
      <c r="A3131" s="1569"/>
      <c r="B3131" s="107"/>
      <c r="C3131" s="654"/>
      <c r="D3131" s="654"/>
      <c r="E3131" s="256"/>
      <c r="F3131" s="267"/>
      <c r="G3131" s="233"/>
      <c r="H3131" s="231">
        <f t="shared" si="96"/>
        <v>0</v>
      </c>
      <c r="I3131" s="231">
        <f t="shared" si="97"/>
        <v>0</v>
      </c>
    </row>
    <row r="3132" spans="1:9" hidden="1">
      <c r="A3132" s="1569"/>
      <c r="B3132" s="107"/>
      <c r="C3132" s="654"/>
      <c r="D3132" s="654"/>
      <c r="E3132" s="256"/>
      <c r="F3132" s="267"/>
      <c r="G3132" s="233"/>
      <c r="H3132" s="231">
        <f t="shared" si="96"/>
        <v>0</v>
      </c>
      <c r="I3132" s="231">
        <f t="shared" si="97"/>
        <v>0</v>
      </c>
    </row>
    <row r="3133" spans="1:9" hidden="1">
      <c r="A3133" s="1569"/>
      <c r="B3133" s="107"/>
      <c r="C3133" s="654"/>
      <c r="D3133" s="654"/>
      <c r="E3133" s="256"/>
      <c r="F3133" s="267"/>
      <c r="G3133" s="233"/>
      <c r="H3133" s="231">
        <f t="shared" si="96"/>
        <v>0</v>
      </c>
      <c r="I3133" s="231">
        <f t="shared" si="97"/>
        <v>0</v>
      </c>
    </row>
    <row r="3134" spans="1:9" hidden="1">
      <c r="A3134" s="1569"/>
      <c r="B3134" s="107"/>
      <c r="C3134" s="654"/>
      <c r="D3134" s="654"/>
      <c r="E3134" s="256"/>
      <c r="F3134" s="267"/>
      <c r="G3134" s="233"/>
      <c r="H3134" s="231">
        <f t="shared" si="96"/>
        <v>0</v>
      </c>
      <c r="I3134" s="231">
        <f t="shared" si="97"/>
        <v>0</v>
      </c>
    </row>
    <row r="3135" spans="1:9" hidden="1">
      <c r="A3135" s="1569"/>
      <c r="B3135" s="107"/>
      <c r="C3135" s="654"/>
      <c r="D3135" s="654"/>
      <c r="E3135" s="256"/>
      <c r="F3135" s="267"/>
      <c r="G3135" s="233"/>
      <c r="H3135" s="231">
        <f t="shared" si="96"/>
        <v>0</v>
      </c>
      <c r="I3135" s="231">
        <f t="shared" si="97"/>
        <v>0</v>
      </c>
    </row>
    <row r="3136" spans="1:9" hidden="1">
      <c r="A3136" s="1569"/>
      <c r="B3136" s="107"/>
      <c r="C3136" s="654"/>
      <c r="D3136" s="654"/>
      <c r="E3136" s="256"/>
      <c r="F3136" s="267"/>
      <c r="G3136" s="233"/>
      <c r="H3136" s="231">
        <f t="shared" si="96"/>
        <v>0</v>
      </c>
      <c r="I3136" s="231">
        <f t="shared" si="97"/>
        <v>0</v>
      </c>
    </row>
    <row r="3137" spans="1:12" hidden="1">
      <c r="A3137" s="1569"/>
      <c r="B3137" s="107"/>
      <c r="C3137" s="654"/>
      <c r="D3137" s="654"/>
      <c r="E3137" s="256"/>
      <c r="F3137" s="267"/>
      <c r="G3137" s="233"/>
      <c r="H3137" s="231">
        <f t="shared" si="96"/>
        <v>0</v>
      </c>
      <c r="I3137" s="231">
        <f t="shared" si="97"/>
        <v>0</v>
      </c>
    </row>
    <row r="3138" spans="1:12" hidden="1">
      <c r="A3138" s="1569"/>
      <c r="B3138" s="107"/>
      <c r="C3138" s="654"/>
      <c r="D3138" s="654"/>
      <c r="E3138" s="256"/>
      <c r="F3138" s="267"/>
      <c r="G3138" s="233"/>
      <c r="H3138" s="231">
        <f t="shared" si="96"/>
        <v>0</v>
      </c>
      <c r="I3138" s="231">
        <f t="shared" si="97"/>
        <v>0</v>
      </c>
    </row>
    <row r="3139" spans="1:12" hidden="1">
      <c r="A3139" s="1569"/>
      <c r="B3139" s="107"/>
      <c r="C3139" s="654"/>
      <c r="D3139" s="654"/>
      <c r="E3139" s="256"/>
      <c r="F3139" s="267"/>
      <c r="G3139" s="233"/>
      <c r="H3139" s="231">
        <f t="shared" si="96"/>
        <v>0</v>
      </c>
      <c r="I3139" s="231">
        <f t="shared" si="97"/>
        <v>0</v>
      </c>
    </row>
    <row r="3140" spans="1:12" hidden="1">
      <c r="A3140" s="1569"/>
      <c r="B3140" s="107"/>
      <c r="C3140" s="654"/>
      <c r="D3140" s="654"/>
      <c r="E3140" s="256"/>
      <c r="F3140" s="267"/>
      <c r="G3140" s="233"/>
      <c r="H3140" s="231">
        <f t="shared" si="96"/>
        <v>0</v>
      </c>
      <c r="I3140" s="231">
        <f t="shared" si="97"/>
        <v>0</v>
      </c>
    </row>
    <row r="3141" spans="1:12" hidden="1">
      <c r="A3141" s="1569"/>
      <c r="B3141" s="107"/>
      <c r="C3141" s="654"/>
      <c r="D3141" s="654"/>
      <c r="E3141" s="256"/>
      <c r="F3141" s="267"/>
      <c r="G3141" s="233"/>
      <c r="H3141" s="231">
        <f t="shared" si="96"/>
        <v>0</v>
      </c>
      <c r="I3141" s="231">
        <f t="shared" si="97"/>
        <v>0</v>
      </c>
    </row>
    <row r="3142" spans="1:12" hidden="1">
      <c r="A3142" s="1569"/>
      <c r="B3142" s="107"/>
      <c r="C3142" s="654"/>
      <c r="D3142" s="654"/>
      <c r="E3142" s="256"/>
      <c r="F3142" s="267"/>
      <c r="G3142" s="233"/>
      <c r="H3142" s="231">
        <f t="shared" si="96"/>
        <v>0</v>
      </c>
      <c r="I3142" s="231">
        <f t="shared" si="97"/>
        <v>0</v>
      </c>
    </row>
    <row r="3143" spans="1:12" hidden="1">
      <c r="A3143" s="1569"/>
      <c r="B3143" s="107"/>
      <c r="C3143" s="654"/>
      <c r="D3143" s="654"/>
      <c r="E3143" s="256"/>
      <c r="F3143" s="267"/>
      <c r="G3143" s="233"/>
      <c r="H3143" s="231">
        <f t="shared" si="96"/>
        <v>0</v>
      </c>
      <c r="I3143" s="231">
        <f t="shared" si="97"/>
        <v>0</v>
      </c>
    </row>
    <row r="3144" spans="1:12" hidden="1">
      <c r="A3144" s="1569"/>
      <c r="B3144" s="107"/>
      <c r="C3144" s="654"/>
      <c r="D3144" s="654"/>
      <c r="E3144" s="256"/>
      <c r="F3144" s="267"/>
      <c r="G3144" s="233"/>
      <c r="H3144" s="231">
        <f t="shared" si="96"/>
        <v>0</v>
      </c>
      <c r="I3144" s="231">
        <f t="shared" si="97"/>
        <v>0</v>
      </c>
    </row>
    <row r="3145" spans="1:12" hidden="1">
      <c r="A3145" s="1569"/>
      <c r="B3145" s="107"/>
      <c r="C3145" s="654"/>
      <c r="D3145" s="654"/>
      <c r="E3145" s="256"/>
      <c r="F3145" s="267"/>
      <c r="G3145" s="233"/>
      <c r="H3145" s="231">
        <f t="shared" ref="H3145:H3208" si="98">E3145+D3145-C3145</f>
        <v>0</v>
      </c>
      <c r="I3145" s="231">
        <f t="shared" ref="I3145:I3208" si="99">SUM(C3145:E3145)</f>
        <v>0</v>
      </c>
    </row>
    <row r="3146" spans="1:12" hidden="1">
      <c r="A3146" s="1569"/>
      <c r="B3146" s="107"/>
      <c r="C3146" s="654"/>
      <c r="D3146" s="654"/>
      <c r="E3146" s="256"/>
      <c r="F3146" s="267"/>
      <c r="G3146" s="233"/>
      <c r="H3146" s="231">
        <f t="shared" si="98"/>
        <v>0</v>
      </c>
      <c r="I3146" s="231">
        <f t="shared" si="99"/>
        <v>0</v>
      </c>
    </row>
    <row r="3147" spans="1:12" hidden="1">
      <c r="A3147" s="1569"/>
      <c r="B3147" s="107"/>
      <c r="C3147" s="654"/>
      <c r="D3147" s="654"/>
      <c r="E3147" s="256"/>
      <c r="F3147" s="267"/>
      <c r="G3147" s="233"/>
      <c r="H3147" s="231">
        <f t="shared" si="98"/>
        <v>0</v>
      </c>
      <c r="I3147" s="231">
        <f t="shared" si="99"/>
        <v>0</v>
      </c>
    </row>
    <row r="3148" spans="1:12" hidden="1">
      <c r="A3148" s="1569"/>
      <c r="B3148" s="107"/>
      <c r="C3148" s="654"/>
      <c r="D3148" s="654"/>
      <c r="E3148" s="256"/>
      <c r="F3148" s="267"/>
      <c r="G3148" s="233"/>
      <c r="H3148" s="231">
        <f t="shared" si="98"/>
        <v>0</v>
      </c>
      <c r="I3148" s="231">
        <f t="shared" si="99"/>
        <v>0</v>
      </c>
    </row>
    <row r="3149" spans="1:12" hidden="1">
      <c r="A3149" s="1569"/>
      <c r="B3149" s="107"/>
      <c r="C3149" s="654"/>
      <c r="D3149" s="654"/>
      <c r="E3149" s="256"/>
      <c r="F3149" s="267"/>
      <c r="G3149" s="233"/>
      <c r="H3149" s="231">
        <f t="shared" si="98"/>
        <v>0</v>
      </c>
      <c r="I3149" s="231">
        <f t="shared" si="99"/>
        <v>0</v>
      </c>
    </row>
    <row r="3150" spans="1:12" hidden="1">
      <c r="A3150" s="1659"/>
      <c r="B3150" s="209" t="s">
        <v>985</v>
      </c>
      <c r="C3150" s="581">
        <f>SUM(C3116:C3149)</f>
        <v>0</v>
      </c>
      <c r="D3150" s="581">
        <f>SUM(D3116:D3149)</f>
        <v>0</v>
      </c>
      <c r="E3150" s="581">
        <f>SUM(E3116:E3149)</f>
        <v>0</v>
      </c>
      <c r="F3150" s="267"/>
      <c r="G3150" s="233"/>
      <c r="H3150" s="231">
        <f t="shared" si="98"/>
        <v>0</v>
      </c>
      <c r="I3150" s="231">
        <f t="shared" si="99"/>
        <v>0</v>
      </c>
    </row>
    <row r="3151" spans="1:12" s="374" customFormat="1" ht="37.5">
      <c r="A3151" s="1568" t="s">
        <v>1109</v>
      </c>
      <c r="B3151" s="107" t="s">
        <v>1795</v>
      </c>
      <c r="C3151" s="184">
        <v>15000</v>
      </c>
      <c r="D3151" s="184"/>
      <c r="E3151" s="184">
        <v>15000</v>
      </c>
      <c r="F3151" s="377"/>
      <c r="G3151" s="378"/>
      <c r="H3151" s="1497">
        <f t="shared" si="98"/>
        <v>0</v>
      </c>
      <c r="I3151" s="1497">
        <f t="shared" si="99"/>
        <v>30000</v>
      </c>
      <c r="J3151" s="1440"/>
      <c r="K3151" s="1490"/>
      <c r="L3151" s="1490"/>
    </row>
    <row r="3152" spans="1:12" s="374" customFormat="1" ht="56.25">
      <c r="A3152" s="1569"/>
      <c r="B3152" s="107" t="s">
        <v>1796</v>
      </c>
      <c r="C3152" s="817">
        <v>60000</v>
      </c>
      <c r="D3152" s="817">
        <v>60000</v>
      </c>
      <c r="E3152" s="184"/>
      <c r="F3152" s="377"/>
      <c r="G3152" s="378"/>
      <c r="H3152" s="1497">
        <f t="shared" si="98"/>
        <v>0</v>
      </c>
      <c r="I3152" s="1497">
        <f t="shared" si="99"/>
        <v>120000</v>
      </c>
      <c r="J3152" s="1440"/>
      <c r="K3152" s="1490"/>
      <c r="L3152" s="1490"/>
    </row>
    <row r="3153" spans="1:12" ht="75">
      <c r="A3153" s="1569"/>
      <c r="B3153" s="107" t="s">
        <v>1797</v>
      </c>
      <c r="C3153" s="184">
        <v>8000</v>
      </c>
      <c r="D3153" s="184">
        <v>8000</v>
      </c>
      <c r="E3153" s="184"/>
      <c r="F3153" s="267"/>
      <c r="G3153" s="233"/>
      <c r="H3153" s="1497">
        <f t="shared" si="98"/>
        <v>0</v>
      </c>
      <c r="I3153" s="1497">
        <f t="shared" si="99"/>
        <v>16000</v>
      </c>
      <c r="J3153" s="1440"/>
      <c r="K3153" s="1490"/>
      <c r="L3153" s="1490"/>
    </row>
    <row r="3154" spans="1:12" ht="56.25">
      <c r="A3154" s="1569"/>
      <c r="B3154" s="107" t="s">
        <v>1798</v>
      </c>
      <c r="C3154" s="184">
        <v>8000</v>
      </c>
      <c r="D3154" s="184">
        <v>8000</v>
      </c>
      <c r="E3154" s="184"/>
      <c r="F3154" s="267"/>
      <c r="G3154" s="233"/>
      <c r="H3154" s="1497">
        <f t="shared" si="98"/>
        <v>0</v>
      </c>
      <c r="I3154" s="1497">
        <f t="shared" si="99"/>
        <v>16000</v>
      </c>
      <c r="J3154" s="1440"/>
      <c r="K3154" s="1490"/>
      <c r="L3154" s="1490"/>
    </row>
    <row r="3155" spans="1:12" ht="56.25">
      <c r="A3155" s="1569"/>
      <c r="B3155" s="107" t="s">
        <v>1799</v>
      </c>
      <c r="C3155" s="184">
        <v>7000</v>
      </c>
      <c r="D3155" s="184"/>
      <c r="E3155" s="184">
        <v>7000</v>
      </c>
      <c r="F3155" s="267"/>
      <c r="G3155" s="233"/>
      <c r="H3155" s="1497">
        <f t="shared" si="98"/>
        <v>0</v>
      </c>
      <c r="I3155" s="1497">
        <f t="shared" si="99"/>
        <v>14000</v>
      </c>
      <c r="J3155" s="1440"/>
      <c r="K3155" s="1490"/>
      <c r="L3155" s="1490"/>
    </row>
    <row r="3156" spans="1:12" hidden="1">
      <c r="A3156" s="1569"/>
      <c r="B3156" s="617"/>
      <c r="C3156" s="633"/>
      <c r="D3156" s="633"/>
      <c r="E3156" s="633"/>
      <c r="F3156" s="267"/>
      <c r="G3156" s="233"/>
      <c r="H3156" s="231">
        <f t="shared" si="98"/>
        <v>0</v>
      </c>
      <c r="I3156" s="231">
        <f t="shared" si="99"/>
        <v>0</v>
      </c>
    </row>
    <row r="3157" spans="1:12" hidden="1">
      <c r="A3157" s="1569"/>
      <c r="B3157" s="107"/>
      <c r="C3157" s="649"/>
      <c r="D3157" s="649"/>
      <c r="E3157" s="256"/>
      <c r="F3157" s="267"/>
      <c r="G3157" s="233"/>
      <c r="H3157" s="231">
        <f t="shared" si="98"/>
        <v>0</v>
      </c>
      <c r="I3157" s="231">
        <f t="shared" si="99"/>
        <v>0</v>
      </c>
    </row>
    <row r="3158" spans="1:12" hidden="1">
      <c r="A3158" s="1569"/>
      <c r="B3158" s="107"/>
      <c r="C3158" s="697"/>
      <c r="D3158" s="698"/>
      <c r="E3158" s="698"/>
      <c r="F3158" s="267"/>
      <c r="G3158" s="233"/>
      <c r="H3158" s="231">
        <f t="shared" si="98"/>
        <v>0</v>
      </c>
      <c r="I3158" s="231">
        <f t="shared" si="99"/>
        <v>0</v>
      </c>
    </row>
    <row r="3159" spans="1:12" hidden="1">
      <c r="A3159" s="1569"/>
      <c r="B3159" s="107"/>
      <c r="C3159" s="697"/>
      <c r="D3159" s="698"/>
      <c r="E3159" s="698"/>
      <c r="F3159" s="267"/>
      <c r="G3159" s="233"/>
      <c r="H3159" s="231">
        <f t="shared" si="98"/>
        <v>0</v>
      </c>
      <c r="I3159" s="231">
        <f t="shared" si="99"/>
        <v>0</v>
      </c>
    </row>
    <row r="3160" spans="1:12" hidden="1">
      <c r="A3160" s="1569"/>
      <c r="B3160" s="107"/>
      <c r="C3160" s="697"/>
      <c r="D3160" s="698"/>
      <c r="E3160" s="698"/>
      <c r="F3160" s="267"/>
      <c r="G3160" s="233"/>
      <c r="H3160" s="231">
        <f t="shared" si="98"/>
        <v>0</v>
      </c>
      <c r="I3160" s="231">
        <f t="shared" si="99"/>
        <v>0</v>
      </c>
    </row>
    <row r="3161" spans="1:12" hidden="1">
      <c r="A3161" s="1569"/>
      <c r="B3161" s="107"/>
      <c r="C3161" s="697"/>
      <c r="D3161" s="698"/>
      <c r="E3161" s="698"/>
      <c r="F3161" s="267"/>
      <c r="G3161" s="233"/>
      <c r="H3161" s="231">
        <f t="shared" si="98"/>
        <v>0</v>
      </c>
      <c r="I3161" s="231">
        <f t="shared" si="99"/>
        <v>0</v>
      </c>
    </row>
    <row r="3162" spans="1:12" hidden="1">
      <c r="A3162" s="1569"/>
      <c r="B3162" s="755"/>
      <c r="C3162" s="654"/>
      <c r="D3162" s="654"/>
      <c r="E3162" s="256"/>
      <c r="F3162" s="267"/>
      <c r="G3162" s="233"/>
      <c r="H3162" s="231">
        <f t="shared" si="98"/>
        <v>0</v>
      </c>
      <c r="I3162" s="231">
        <f t="shared" si="99"/>
        <v>0</v>
      </c>
    </row>
    <row r="3163" spans="1:12" hidden="1">
      <c r="A3163" s="1569"/>
      <c r="B3163" s="371"/>
      <c r="C3163" s="850"/>
      <c r="D3163" s="850"/>
      <c r="E3163" s="844"/>
      <c r="F3163" s="267"/>
      <c r="G3163" s="233"/>
      <c r="H3163" s="231">
        <f t="shared" si="98"/>
        <v>0</v>
      </c>
      <c r="I3163" s="231">
        <f t="shared" si="99"/>
        <v>0</v>
      </c>
    </row>
    <row r="3164" spans="1:12" hidden="1">
      <c r="A3164" s="1569"/>
      <c r="B3164" s="371"/>
      <c r="C3164" s="850"/>
      <c r="D3164" s="850"/>
      <c r="E3164" s="844"/>
      <c r="F3164" s="267"/>
      <c r="G3164" s="233"/>
      <c r="H3164" s="231">
        <f t="shared" si="98"/>
        <v>0</v>
      </c>
      <c r="I3164" s="231">
        <f t="shared" si="99"/>
        <v>0</v>
      </c>
    </row>
    <row r="3165" spans="1:12" hidden="1">
      <c r="A3165" s="1569"/>
      <c r="B3165" s="116"/>
      <c r="C3165" s="679"/>
      <c r="D3165" s="679"/>
      <c r="E3165" s="256"/>
      <c r="F3165" s="267"/>
      <c r="G3165" s="233"/>
      <c r="H3165" s="231">
        <f t="shared" si="98"/>
        <v>0</v>
      </c>
      <c r="I3165" s="231">
        <f t="shared" si="99"/>
        <v>0</v>
      </c>
    </row>
    <row r="3166" spans="1:12" hidden="1">
      <c r="A3166" s="1569"/>
      <c r="B3166" s="107"/>
      <c r="C3166" s="654"/>
      <c r="D3166" s="654"/>
      <c r="E3166" s="256"/>
      <c r="F3166" s="267"/>
      <c r="G3166" s="233"/>
      <c r="H3166" s="231">
        <f t="shared" si="98"/>
        <v>0</v>
      </c>
      <c r="I3166" s="231">
        <f t="shared" si="99"/>
        <v>0</v>
      </c>
    </row>
    <row r="3167" spans="1:12" hidden="1">
      <c r="A3167" s="1569"/>
      <c r="B3167" s="107"/>
      <c r="C3167" s="654"/>
      <c r="D3167" s="654"/>
      <c r="E3167" s="256"/>
      <c r="F3167" s="267"/>
      <c r="G3167" s="233"/>
      <c r="H3167" s="231">
        <f t="shared" si="98"/>
        <v>0</v>
      </c>
      <c r="I3167" s="231">
        <f t="shared" si="99"/>
        <v>0</v>
      </c>
    </row>
    <row r="3168" spans="1:12" hidden="1">
      <c r="A3168" s="1569"/>
      <c r="B3168" s="107"/>
      <c r="C3168" s="654"/>
      <c r="D3168" s="654"/>
      <c r="E3168" s="256"/>
      <c r="F3168" s="267"/>
      <c r="G3168" s="233"/>
      <c r="H3168" s="231">
        <f t="shared" si="98"/>
        <v>0</v>
      </c>
      <c r="I3168" s="231">
        <f t="shared" si="99"/>
        <v>0</v>
      </c>
    </row>
    <row r="3169" spans="1:9" hidden="1">
      <c r="A3169" s="1569"/>
      <c r="B3169" s="107"/>
      <c r="C3169" s="654"/>
      <c r="D3169" s="654"/>
      <c r="E3169" s="256"/>
      <c r="F3169" s="267"/>
      <c r="G3169" s="233"/>
      <c r="H3169" s="231">
        <f t="shared" si="98"/>
        <v>0</v>
      </c>
      <c r="I3169" s="231">
        <f t="shared" si="99"/>
        <v>0</v>
      </c>
    </row>
    <row r="3170" spans="1:9" hidden="1">
      <c r="A3170" s="1569"/>
      <c r="B3170" s="107"/>
      <c r="C3170" s="654"/>
      <c r="D3170" s="654"/>
      <c r="E3170" s="256"/>
      <c r="F3170" s="267"/>
      <c r="G3170" s="233"/>
      <c r="H3170" s="231">
        <f t="shared" si="98"/>
        <v>0</v>
      </c>
      <c r="I3170" s="231">
        <f t="shared" si="99"/>
        <v>0</v>
      </c>
    </row>
    <row r="3171" spans="1:9" hidden="1">
      <c r="A3171" s="1569"/>
      <c r="B3171" s="107"/>
      <c r="C3171" s="654"/>
      <c r="D3171" s="654"/>
      <c r="E3171" s="256"/>
      <c r="F3171" s="267"/>
      <c r="G3171" s="233"/>
      <c r="H3171" s="231">
        <f t="shared" si="98"/>
        <v>0</v>
      </c>
      <c r="I3171" s="231">
        <f t="shared" si="99"/>
        <v>0</v>
      </c>
    </row>
    <row r="3172" spans="1:9" hidden="1">
      <c r="A3172" s="1569"/>
      <c r="B3172" s="107"/>
      <c r="C3172" s="654"/>
      <c r="D3172" s="654"/>
      <c r="E3172" s="256"/>
      <c r="F3172" s="267"/>
      <c r="G3172" s="233"/>
      <c r="H3172" s="231">
        <f t="shared" si="98"/>
        <v>0</v>
      </c>
      <c r="I3172" s="231">
        <f t="shared" si="99"/>
        <v>0</v>
      </c>
    </row>
    <row r="3173" spans="1:9" hidden="1">
      <c r="A3173" s="1569"/>
      <c r="B3173" s="107"/>
      <c r="C3173" s="654"/>
      <c r="D3173" s="654"/>
      <c r="E3173" s="256"/>
      <c r="F3173" s="267"/>
      <c r="G3173" s="233"/>
      <c r="H3173" s="231">
        <f t="shared" si="98"/>
        <v>0</v>
      </c>
      <c r="I3173" s="231">
        <f t="shared" si="99"/>
        <v>0</v>
      </c>
    </row>
    <row r="3174" spans="1:9" hidden="1">
      <c r="A3174" s="1569"/>
      <c r="B3174" s="107"/>
      <c r="C3174" s="654"/>
      <c r="D3174" s="654"/>
      <c r="E3174" s="256"/>
      <c r="F3174" s="267"/>
      <c r="G3174" s="233"/>
      <c r="H3174" s="231">
        <f t="shared" si="98"/>
        <v>0</v>
      </c>
      <c r="I3174" s="231">
        <f t="shared" si="99"/>
        <v>0</v>
      </c>
    </row>
    <row r="3175" spans="1:9" hidden="1">
      <c r="A3175" s="1569"/>
      <c r="B3175" s="107"/>
      <c r="C3175" s="654"/>
      <c r="D3175" s="654"/>
      <c r="E3175" s="256"/>
      <c r="F3175" s="267"/>
      <c r="G3175" s="233"/>
      <c r="H3175" s="231">
        <f t="shared" si="98"/>
        <v>0</v>
      </c>
      <c r="I3175" s="231">
        <f t="shared" si="99"/>
        <v>0</v>
      </c>
    </row>
    <row r="3176" spans="1:9" hidden="1">
      <c r="A3176" s="1569"/>
      <c r="B3176" s="107"/>
      <c r="C3176" s="654"/>
      <c r="D3176" s="654"/>
      <c r="E3176" s="256"/>
      <c r="F3176" s="267"/>
      <c r="G3176" s="233"/>
      <c r="H3176" s="231">
        <f t="shared" si="98"/>
        <v>0</v>
      </c>
      <c r="I3176" s="231">
        <f t="shared" si="99"/>
        <v>0</v>
      </c>
    </row>
    <row r="3177" spans="1:9" hidden="1">
      <c r="A3177" s="1569"/>
      <c r="B3177" s="107"/>
      <c r="C3177" s="654"/>
      <c r="D3177" s="654"/>
      <c r="E3177" s="256"/>
      <c r="F3177" s="267"/>
      <c r="G3177" s="233"/>
      <c r="H3177" s="231">
        <f t="shared" si="98"/>
        <v>0</v>
      </c>
      <c r="I3177" s="231">
        <f t="shared" si="99"/>
        <v>0</v>
      </c>
    </row>
    <row r="3178" spans="1:9" hidden="1">
      <c r="A3178" s="1569"/>
      <c r="B3178" s="107"/>
      <c r="C3178" s="654"/>
      <c r="D3178" s="654"/>
      <c r="E3178" s="256"/>
      <c r="F3178" s="267"/>
      <c r="G3178" s="233"/>
      <c r="H3178" s="231">
        <f t="shared" si="98"/>
        <v>0</v>
      </c>
      <c r="I3178" s="231">
        <f t="shared" si="99"/>
        <v>0</v>
      </c>
    </row>
    <row r="3179" spans="1:9" hidden="1">
      <c r="A3179" s="1569"/>
      <c r="B3179" s="107"/>
      <c r="C3179" s="654"/>
      <c r="D3179" s="654"/>
      <c r="E3179" s="256"/>
      <c r="F3179" s="267"/>
      <c r="G3179" s="233"/>
      <c r="H3179" s="231">
        <f t="shared" si="98"/>
        <v>0</v>
      </c>
      <c r="I3179" s="231">
        <f t="shared" si="99"/>
        <v>0</v>
      </c>
    </row>
    <row r="3180" spans="1:9" hidden="1">
      <c r="A3180" s="1569"/>
      <c r="B3180" s="107"/>
      <c r="C3180" s="654"/>
      <c r="D3180" s="654"/>
      <c r="E3180" s="256"/>
      <c r="F3180" s="267"/>
      <c r="G3180" s="233"/>
      <c r="H3180" s="231">
        <f t="shared" si="98"/>
        <v>0</v>
      </c>
      <c r="I3180" s="231">
        <f t="shared" si="99"/>
        <v>0</v>
      </c>
    </row>
    <row r="3181" spans="1:9" hidden="1">
      <c r="A3181" s="1569"/>
      <c r="B3181" s="107"/>
      <c r="C3181" s="654"/>
      <c r="D3181" s="654"/>
      <c r="E3181" s="256"/>
      <c r="F3181" s="267"/>
      <c r="G3181" s="233"/>
      <c r="H3181" s="231">
        <f t="shared" si="98"/>
        <v>0</v>
      </c>
      <c r="I3181" s="231">
        <f t="shared" si="99"/>
        <v>0</v>
      </c>
    </row>
    <row r="3182" spans="1:9" hidden="1">
      <c r="A3182" s="1569"/>
      <c r="B3182" s="107"/>
      <c r="C3182" s="654"/>
      <c r="D3182" s="654"/>
      <c r="E3182" s="256"/>
      <c r="F3182" s="267"/>
      <c r="G3182" s="233"/>
      <c r="H3182" s="231">
        <f t="shared" si="98"/>
        <v>0</v>
      </c>
      <c r="I3182" s="231">
        <f t="shared" si="99"/>
        <v>0</v>
      </c>
    </row>
    <row r="3183" spans="1:9" hidden="1">
      <c r="A3183" s="1569"/>
      <c r="B3183" s="107"/>
      <c r="C3183" s="654"/>
      <c r="D3183" s="654"/>
      <c r="E3183" s="256"/>
      <c r="F3183" s="267"/>
      <c r="G3183" s="233"/>
      <c r="H3183" s="231">
        <f t="shared" si="98"/>
        <v>0</v>
      </c>
      <c r="I3183" s="231">
        <f t="shared" si="99"/>
        <v>0</v>
      </c>
    </row>
    <row r="3184" spans="1:9" hidden="1">
      <c r="A3184" s="1569"/>
      <c r="B3184" s="107"/>
      <c r="C3184" s="654"/>
      <c r="D3184" s="654"/>
      <c r="E3184" s="256"/>
      <c r="F3184" s="267"/>
      <c r="G3184" s="233"/>
      <c r="H3184" s="231">
        <f t="shared" si="98"/>
        <v>0</v>
      </c>
      <c r="I3184" s="231">
        <f t="shared" si="99"/>
        <v>0</v>
      </c>
    </row>
    <row r="3185" spans="1:12">
      <c r="A3185" s="1659"/>
      <c r="B3185" s="209" t="s">
        <v>985</v>
      </c>
      <c r="C3185" s="581">
        <f>SUM(C3151:C3184)</f>
        <v>98000</v>
      </c>
      <c r="D3185" s="581">
        <f>SUM(D3151:D3184)</f>
        <v>76000</v>
      </c>
      <c r="E3185" s="581">
        <f>SUM(E3151:E3184)</f>
        <v>22000</v>
      </c>
      <c r="F3185" s="267"/>
      <c r="G3185" s="233"/>
      <c r="H3185" s="1497">
        <f t="shared" si="98"/>
        <v>0</v>
      </c>
      <c r="I3185" s="1497">
        <f t="shared" si="99"/>
        <v>196000</v>
      </c>
      <c r="J3185" s="1440"/>
      <c r="K3185" s="1490"/>
      <c r="L3185" s="1490"/>
    </row>
    <row r="3186" spans="1:12" ht="112.5" hidden="1">
      <c r="A3186" s="1568" t="s">
        <v>1110</v>
      </c>
      <c r="B3186" s="107" t="s">
        <v>773</v>
      </c>
      <c r="C3186" s="510"/>
      <c r="D3186" s="510"/>
      <c r="E3186" s="510"/>
      <c r="F3186" s="267"/>
      <c r="G3186" s="233"/>
      <c r="H3186" s="231">
        <f t="shared" si="98"/>
        <v>0</v>
      </c>
      <c r="I3186" s="231">
        <f t="shared" si="99"/>
        <v>0</v>
      </c>
    </row>
    <row r="3187" spans="1:12" hidden="1">
      <c r="A3187" s="1569"/>
      <c r="B3187" s="107"/>
      <c r="C3187" s="645"/>
      <c r="D3187" s="646"/>
      <c r="E3187" s="646"/>
      <c r="F3187" s="267"/>
      <c r="G3187" s="233"/>
      <c r="H3187" s="231">
        <f t="shared" si="98"/>
        <v>0</v>
      </c>
      <c r="I3187" s="231">
        <f t="shared" si="99"/>
        <v>0</v>
      </c>
    </row>
    <row r="3188" spans="1:12" hidden="1">
      <c r="A3188" s="1569"/>
      <c r="B3188" s="371"/>
      <c r="C3188" s="589"/>
      <c r="D3188" s="589"/>
      <c r="E3188" s="510"/>
      <c r="F3188" s="267"/>
      <c r="G3188" s="233"/>
      <c r="H3188" s="231">
        <f t="shared" si="98"/>
        <v>0</v>
      </c>
      <c r="I3188" s="231">
        <f t="shared" si="99"/>
        <v>0</v>
      </c>
    </row>
    <row r="3189" spans="1:12" hidden="1">
      <c r="A3189" s="1569"/>
      <c r="B3189" s="107"/>
      <c r="C3189" s="649"/>
      <c r="D3189" s="649"/>
      <c r="E3189" s="256"/>
      <c r="F3189" s="267"/>
      <c r="G3189" s="233"/>
      <c r="H3189" s="231">
        <f t="shared" si="98"/>
        <v>0</v>
      </c>
      <c r="I3189" s="231">
        <f t="shared" si="99"/>
        <v>0</v>
      </c>
    </row>
    <row r="3190" spans="1:12" hidden="1">
      <c r="A3190" s="1569"/>
      <c r="B3190" s="107"/>
      <c r="C3190" s="649"/>
      <c r="D3190" s="649"/>
      <c r="E3190" s="256"/>
      <c r="F3190" s="267"/>
      <c r="G3190" s="233"/>
      <c r="H3190" s="231">
        <f t="shared" si="98"/>
        <v>0</v>
      </c>
      <c r="I3190" s="231">
        <f t="shared" si="99"/>
        <v>0</v>
      </c>
    </row>
    <row r="3191" spans="1:12" hidden="1">
      <c r="A3191" s="1569"/>
      <c r="B3191" s="107"/>
      <c r="C3191" s="649"/>
      <c r="D3191" s="649"/>
      <c r="E3191" s="256"/>
      <c r="F3191" s="267"/>
      <c r="G3191" s="233"/>
      <c r="H3191" s="231">
        <f t="shared" si="98"/>
        <v>0</v>
      </c>
      <c r="I3191" s="231">
        <f t="shared" si="99"/>
        <v>0</v>
      </c>
    </row>
    <row r="3192" spans="1:12" hidden="1">
      <c r="A3192" s="1569"/>
      <c r="B3192" s="107"/>
      <c r="C3192" s="649"/>
      <c r="D3192" s="649"/>
      <c r="E3192" s="256"/>
      <c r="F3192" s="267"/>
      <c r="G3192" s="233"/>
      <c r="H3192" s="231">
        <f t="shared" si="98"/>
        <v>0</v>
      </c>
      <c r="I3192" s="231">
        <f t="shared" si="99"/>
        <v>0</v>
      </c>
    </row>
    <row r="3193" spans="1:12" hidden="1">
      <c r="A3193" s="1569"/>
      <c r="B3193" s="107"/>
      <c r="C3193" s="256"/>
      <c r="D3193" s="256"/>
      <c r="E3193" s="256"/>
      <c r="F3193" s="267"/>
      <c r="G3193" s="233"/>
      <c r="H3193" s="231">
        <f t="shared" si="98"/>
        <v>0</v>
      </c>
      <c r="I3193" s="231">
        <f t="shared" si="99"/>
        <v>0</v>
      </c>
    </row>
    <row r="3194" spans="1:12" hidden="1">
      <c r="A3194" s="1569"/>
      <c r="B3194" s="371"/>
      <c r="C3194" s="665"/>
      <c r="D3194" s="665"/>
      <c r="E3194" s="665"/>
      <c r="F3194" s="267"/>
      <c r="G3194" s="233"/>
      <c r="H3194" s="231">
        <f t="shared" si="98"/>
        <v>0</v>
      </c>
      <c r="I3194" s="231">
        <f t="shared" si="99"/>
        <v>0</v>
      </c>
    </row>
    <row r="3195" spans="1:12" hidden="1">
      <c r="A3195" s="1569"/>
      <c r="B3195" s="371"/>
      <c r="C3195" s="850"/>
      <c r="D3195" s="850"/>
      <c r="E3195" s="844"/>
      <c r="F3195" s="267"/>
      <c r="G3195" s="233"/>
      <c r="H3195" s="231">
        <f t="shared" si="98"/>
        <v>0</v>
      </c>
      <c r="I3195" s="231">
        <f t="shared" si="99"/>
        <v>0</v>
      </c>
    </row>
    <row r="3196" spans="1:12" hidden="1">
      <c r="A3196" s="1569"/>
      <c r="B3196" s="107"/>
      <c r="C3196" s="654"/>
      <c r="D3196" s="654"/>
      <c r="E3196" s="256"/>
      <c r="F3196" s="267"/>
      <c r="G3196" s="233"/>
      <c r="H3196" s="231">
        <f t="shared" si="98"/>
        <v>0</v>
      </c>
      <c r="I3196" s="231">
        <f t="shared" si="99"/>
        <v>0</v>
      </c>
    </row>
    <row r="3197" spans="1:12" hidden="1">
      <c r="A3197" s="1569"/>
      <c r="B3197" s="107"/>
      <c r="C3197" s="654"/>
      <c r="D3197" s="654"/>
      <c r="E3197" s="256"/>
      <c r="F3197" s="267"/>
      <c r="G3197" s="233"/>
      <c r="H3197" s="231">
        <f t="shared" si="98"/>
        <v>0</v>
      </c>
      <c r="I3197" s="231">
        <f t="shared" si="99"/>
        <v>0</v>
      </c>
    </row>
    <row r="3198" spans="1:12" hidden="1">
      <c r="A3198" s="1569"/>
      <c r="B3198" s="107"/>
      <c r="C3198" s="654"/>
      <c r="D3198" s="654"/>
      <c r="E3198" s="256"/>
      <c r="F3198" s="267"/>
      <c r="G3198" s="233"/>
      <c r="H3198" s="231">
        <f t="shared" si="98"/>
        <v>0</v>
      </c>
      <c r="I3198" s="231">
        <f t="shared" si="99"/>
        <v>0</v>
      </c>
    </row>
    <row r="3199" spans="1:12" hidden="1">
      <c r="A3199" s="1569"/>
      <c r="B3199" s="107"/>
      <c r="C3199" s="654"/>
      <c r="D3199" s="654"/>
      <c r="E3199" s="256"/>
      <c r="F3199" s="267"/>
      <c r="G3199" s="233"/>
      <c r="H3199" s="231">
        <f t="shared" si="98"/>
        <v>0</v>
      </c>
      <c r="I3199" s="231">
        <f t="shared" si="99"/>
        <v>0</v>
      </c>
    </row>
    <row r="3200" spans="1:12" hidden="1">
      <c r="A3200" s="1569"/>
      <c r="B3200" s="116"/>
      <c r="C3200" s="679"/>
      <c r="D3200" s="679"/>
      <c r="E3200" s="256"/>
      <c r="F3200" s="267"/>
      <c r="G3200" s="233"/>
      <c r="H3200" s="231">
        <f t="shared" si="98"/>
        <v>0</v>
      </c>
      <c r="I3200" s="231">
        <f t="shared" si="99"/>
        <v>0</v>
      </c>
    </row>
    <row r="3201" spans="1:9" hidden="1">
      <c r="A3201" s="1569"/>
      <c r="B3201" s="107"/>
      <c r="C3201" s="654"/>
      <c r="D3201" s="654"/>
      <c r="E3201" s="256"/>
      <c r="F3201" s="267"/>
      <c r="G3201" s="233"/>
      <c r="H3201" s="231">
        <f t="shared" si="98"/>
        <v>0</v>
      </c>
      <c r="I3201" s="231">
        <f t="shared" si="99"/>
        <v>0</v>
      </c>
    </row>
    <row r="3202" spans="1:9" hidden="1">
      <c r="A3202" s="1569"/>
      <c r="B3202" s="107"/>
      <c r="C3202" s="654"/>
      <c r="D3202" s="654"/>
      <c r="E3202" s="256"/>
      <c r="F3202" s="267"/>
      <c r="G3202" s="233"/>
      <c r="H3202" s="231">
        <f t="shared" si="98"/>
        <v>0</v>
      </c>
      <c r="I3202" s="231">
        <f t="shared" si="99"/>
        <v>0</v>
      </c>
    </row>
    <row r="3203" spans="1:9" hidden="1">
      <c r="A3203" s="1569"/>
      <c r="B3203" s="107"/>
      <c r="C3203" s="654"/>
      <c r="D3203" s="654"/>
      <c r="E3203" s="256"/>
      <c r="F3203" s="267"/>
      <c r="G3203" s="233"/>
      <c r="H3203" s="231">
        <f t="shared" si="98"/>
        <v>0</v>
      </c>
      <c r="I3203" s="231">
        <f t="shared" si="99"/>
        <v>0</v>
      </c>
    </row>
    <row r="3204" spans="1:9" hidden="1">
      <c r="A3204" s="1569"/>
      <c r="B3204" s="107"/>
      <c r="C3204" s="654"/>
      <c r="D3204" s="654"/>
      <c r="E3204" s="256"/>
      <c r="F3204" s="267"/>
      <c r="G3204" s="233"/>
      <c r="H3204" s="231">
        <f t="shared" si="98"/>
        <v>0</v>
      </c>
      <c r="I3204" s="231">
        <f t="shared" si="99"/>
        <v>0</v>
      </c>
    </row>
    <row r="3205" spans="1:9" hidden="1">
      <c r="A3205" s="1569"/>
      <c r="B3205" s="107"/>
      <c r="C3205" s="654"/>
      <c r="D3205" s="654"/>
      <c r="E3205" s="256"/>
      <c r="F3205" s="267"/>
      <c r="G3205" s="233"/>
      <c r="H3205" s="231">
        <f t="shared" si="98"/>
        <v>0</v>
      </c>
      <c r="I3205" s="231">
        <f t="shared" si="99"/>
        <v>0</v>
      </c>
    </row>
    <row r="3206" spans="1:9" hidden="1">
      <c r="A3206" s="1569"/>
      <c r="B3206" s="107"/>
      <c r="C3206" s="654"/>
      <c r="D3206" s="654"/>
      <c r="E3206" s="256"/>
      <c r="F3206" s="267"/>
      <c r="G3206" s="233"/>
      <c r="H3206" s="231">
        <f t="shared" si="98"/>
        <v>0</v>
      </c>
      <c r="I3206" s="231">
        <f t="shared" si="99"/>
        <v>0</v>
      </c>
    </row>
    <row r="3207" spans="1:9" hidden="1">
      <c r="A3207" s="1569"/>
      <c r="B3207" s="107"/>
      <c r="C3207" s="654"/>
      <c r="D3207" s="654"/>
      <c r="E3207" s="256"/>
      <c r="F3207" s="267"/>
      <c r="G3207" s="233"/>
      <c r="H3207" s="231">
        <f t="shared" si="98"/>
        <v>0</v>
      </c>
      <c r="I3207" s="231">
        <f t="shared" si="99"/>
        <v>0</v>
      </c>
    </row>
    <row r="3208" spans="1:9" hidden="1">
      <c r="A3208" s="1569"/>
      <c r="B3208" s="107"/>
      <c r="C3208" s="654"/>
      <c r="D3208" s="654"/>
      <c r="E3208" s="256"/>
      <c r="F3208" s="267"/>
      <c r="G3208" s="233"/>
      <c r="H3208" s="231">
        <f t="shared" si="98"/>
        <v>0</v>
      </c>
      <c r="I3208" s="231">
        <f t="shared" si="99"/>
        <v>0</v>
      </c>
    </row>
    <row r="3209" spans="1:9" hidden="1">
      <c r="A3209" s="1569"/>
      <c r="B3209" s="107"/>
      <c r="C3209" s="654"/>
      <c r="D3209" s="654"/>
      <c r="E3209" s="256"/>
      <c r="F3209" s="267"/>
      <c r="G3209" s="233"/>
      <c r="H3209" s="231">
        <f t="shared" ref="H3209:H3272" si="100">E3209+D3209-C3209</f>
        <v>0</v>
      </c>
      <c r="I3209" s="231">
        <f t="shared" ref="I3209:I3272" si="101">SUM(C3209:E3209)</f>
        <v>0</v>
      </c>
    </row>
    <row r="3210" spans="1:9" hidden="1">
      <c r="A3210" s="1569"/>
      <c r="B3210" s="107"/>
      <c r="C3210" s="654"/>
      <c r="D3210" s="654"/>
      <c r="E3210" s="256"/>
      <c r="F3210" s="267"/>
      <c r="G3210" s="233"/>
      <c r="H3210" s="231">
        <f t="shared" si="100"/>
        <v>0</v>
      </c>
      <c r="I3210" s="231">
        <f t="shared" si="101"/>
        <v>0</v>
      </c>
    </row>
    <row r="3211" spans="1:9" hidden="1">
      <c r="A3211" s="1569"/>
      <c r="B3211" s="107"/>
      <c r="C3211" s="654"/>
      <c r="D3211" s="654"/>
      <c r="E3211" s="256"/>
      <c r="F3211" s="267"/>
      <c r="G3211" s="233"/>
      <c r="H3211" s="231">
        <f t="shared" si="100"/>
        <v>0</v>
      </c>
      <c r="I3211" s="231">
        <f t="shared" si="101"/>
        <v>0</v>
      </c>
    </row>
    <row r="3212" spans="1:9" hidden="1">
      <c r="A3212" s="1569"/>
      <c r="B3212" s="107"/>
      <c r="C3212" s="654"/>
      <c r="D3212" s="654"/>
      <c r="E3212" s="256"/>
      <c r="F3212" s="267"/>
      <c r="G3212" s="233"/>
      <c r="H3212" s="231">
        <f t="shared" si="100"/>
        <v>0</v>
      </c>
      <c r="I3212" s="231">
        <f t="shared" si="101"/>
        <v>0</v>
      </c>
    </row>
    <row r="3213" spans="1:9" hidden="1">
      <c r="A3213" s="1569"/>
      <c r="B3213" s="107"/>
      <c r="C3213" s="654"/>
      <c r="D3213" s="654"/>
      <c r="E3213" s="256"/>
      <c r="F3213" s="267"/>
      <c r="G3213" s="233"/>
      <c r="H3213" s="231">
        <f t="shared" si="100"/>
        <v>0</v>
      </c>
      <c r="I3213" s="231">
        <f t="shared" si="101"/>
        <v>0</v>
      </c>
    </row>
    <row r="3214" spans="1:9" hidden="1">
      <c r="A3214" s="1569"/>
      <c r="B3214" s="107"/>
      <c r="C3214" s="654"/>
      <c r="D3214" s="654"/>
      <c r="E3214" s="256"/>
      <c r="F3214" s="267"/>
      <c r="G3214" s="233"/>
      <c r="H3214" s="231">
        <f t="shared" si="100"/>
        <v>0</v>
      </c>
      <c r="I3214" s="231">
        <f t="shared" si="101"/>
        <v>0</v>
      </c>
    </row>
    <row r="3215" spans="1:9" hidden="1">
      <c r="A3215" s="1569"/>
      <c r="B3215" s="107"/>
      <c r="C3215" s="654"/>
      <c r="D3215" s="654"/>
      <c r="E3215" s="256"/>
      <c r="F3215" s="267"/>
      <c r="G3215" s="233"/>
      <c r="H3215" s="231">
        <f t="shared" si="100"/>
        <v>0</v>
      </c>
      <c r="I3215" s="231">
        <f t="shared" si="101"/>
        <v>0</v>
      </c>
    </row>
    <row r="3216" spans="1:9" hidden="1">
      <c r="A3216" s="1569"/>
      <c r="B3216" s="107"/>
      <c r="C3216" s="654"/>
      <c r="D3216" s="654"/>
      <c r="E3216" s="256"/>
      <c r="F3216" s="267"/>
      <c r="G3216" s="233"/>
      <c r="H3216" s="231">
        <f t="shared" si="100"/>
        <v>0</v>
      </c>
      <c r="I3216" s="231">
        <f t="shared" si="101"/>
        <v>0</v>
      </c>
    </row>
    <row r="3217" spans="1:12" hidden="1">
      <c r="A3217" s="1569"/>
      <c r="B3217" s="107"/>
      <c r="C3217" s="654"/>
      <c r="D3217" s="654"/>
      <c r="E3217" s="256"/>
      <c r="F3217" s="267"/>
      <c r="G3217" s="233"/>
      <c r="H3217" s="231">
        <f t="shared" si="100"/>
        <v>0</v>
      </c>
      <c r="I3217" s="231">
        <f t="shared" si="101"/>
        <v>0</v>
      </c>
    </row>
    <row r="3218" spans="1:12" hidden="1">
      <c r="A3218" s="1569"/>
      <c r="B3218" s="107"/>
      <c r="C3218" s="654"/>
      <c r="D3218" s="654"/>
      <c r="E3218" s="256"/>
      <c r="F3218" s="267"/>
      <c r="G3218" s="233"/>
      <c r="H3218" s="231">
        <f t="shared" si="100"/>
        <v>0</v>
      </c>
      <c r="I3218" s="231">
        <f t="shared" si="101"/>
        <v>0</v>
      </c>
    </row>
    <row r="3219" spans="1:12" hidden="1">
      <c r="A3219" s="1569"/>
      <c r="B3219" s="107"/>
      <c r="C3219" s="654"/>
      <c r="D3219" s="654"/>
      <c r="E3219" s="256"/>
      <c r="F3219" s="267"/>
      <c r="G3219" s="233"/>
      <c r="H3219" s="231">
        <f t="shared" si="100"/>
        <v>0</v>
      </c>
      <c r="I3219" s="231">
        <f t="shared" si="101"/>
        <v>0</v>
      </c>
    </row>
    <row r="3220" spans="1:12" hidden="1">
      <c r="A3220" s="1659"/>
      <c r="B3220" s="209" t="s">
        <v>985</v>
      </c>
      <c r="C3220" s="581">
        <f>SUM(C3186:C3219)</f>
        <v>0</v>
      </c>
      <c r="D3220" s="581">
        <f>SUM(D3186:D3219)</f>
        <v>0</v>
      </c>
      <c r="E3220" s="581">
        <f>SUM(E3186:E3219)</f>
        <v>0</v>
      </c>
      <c r="F3220" s="267"/>
      <c r="G3220" s="233"/>
      <c r="H3220" s="231">
        <f t="shared" si="100"/>
        <v>0</v>
      </c>
      <c r="I3220" s="231">
        <f t="shared" si="101"/>
        <v>0</v>
      </c>
    </row>
    <row r="3221" spans="1:12" ht="56.25">
      <c r="A3221" s="1568" t="s">
        <v>1111</v>
      </c>
      <c r="B3221" s="107" t="s">
        <v>1800</v>
      </c>
      <c r="C3221" s="184">
        <v>10000</v>
      </c>
      <c r="D3221" s="184">
        <v>10000</v>
      </c>
      <c r="E3221" s="184"/>
      <c r="F3221" s="267"/>
      <c r="G3221" s="233"/>
      <c r="H3221" s="1497">
        <f t="shared" si="100"/>
        <v>0</v>
      </c>
      <c r="I3221" s="1497">
        <f t="shared" si="101"/>
        <v>20000</v>
      </c>
      <c r="J3221" s="1440"/>
      <c r="K3221" s="1490"/>
      <c r="L3221" s="1490"/>
    </row>
    <row r="3222" spans="1:12" ht="56.25">
      <c r="A3222" s="1569"/>
      <c r="B3222" s="107" t="s">
        <v>1801</v>
      </c>
      <c r="C3222" s="184">
        <v>18928</v>
      </c>
      <c r="D3222" s="184">
        <v>4200</v>
      </c>
      <c r="E3222" s="184">
        <v>14728</v>
      </c>
      <c r="F3222" s="267"/>
      <c r="G3222" s="233"/>
      <c r="H3222" s="1497">
        <f t="shared" si="100"/>
        <v>0</v>
      </c>
      <c r="I3222" s="1497">
        <f t="shared" si="101"/>
        <v>37856</v>
      </c>
      <c r="J3222" s="1440"/>
      <c r="K3222" s="1490"/>
      <c r="L3222" s="1490"/>
    </row>
    <row r="3223" spans="1:12" ht="37.5">
      <c r="A3223" s="1569"/>
      <c r="B3223" s="1231" t="s">
        <v>1802</v>
      </c>
      <c r="C3223" s="184">
        <v>9000</v>
      </c>
      <c r="D3223" s="184"/>
      <c r="E3223" s="184">
        <v>9000</v>
      </c>
      <c r="F3223" s="267"/>
      <c r="G3223" s="233"/>
      <c r="H3223" s="1497">
        <f t="shared" si="100"/>
        <v>0</v>
      </c>
      <c r="I3223" s="1497">
        <f t="shared" si="101"/>
        <v>18000</v>
      </c>
      <c r="J3223" s="1440"/>
      <c r="K3223" s="1490"/>
      <c r="L3223" s="1490"/>
    </row>
    <row r="3224" spans="1:12" ht="75">
      <c r="A3224" s="1569"/>
      <c r="B3224" s="107" t="s">
        <v>1803</v>
      </c>
      <c r="C3224" s="184">
        <v>12962</v>
      </c>
      <c r="D3224" s="184">
        <v>722</v>
      </c>
      <c r="E3224" s="184">
        <v>12240</v>
      </c>
      <c r="F3224" s="267"/>
      <c r="G3224" s="233"/>
      <c r="H3224" s="1497">
        <f t="shared" si="100"/>
        <v>0</v>
      </c>
      <c r="I3224" s="1497">
        <f t="shared" si="101"/>
        <v>25924</v>
      </c>
      <c r="J3224" s="1440"/>
      <c r="K3224" s="1490"/>
      <c r="L3224" s="1490"/>
    </row>
    <row r="3225" spans="1:12" ht="56.25">
      <c r="A3225" s="1569"/>
      <c r="B3225" s="107" t="s">
        <v>2139</v>
      </c>
      <c r="C3225" s="817">
        <v>9800</v>
      </c>
      <c r="D3225" s="817">
        <v>9800</v>
      </c>
      <c r="E3225" s="184"/>
      <c r="F3225" s="267"/>
      <c r="G3225" s="233"/>
      <c r="H3225" s="1497">
        <f t="shared" si="100"/>
        <v>0</v>
      </c>
      <c r="I3225" s="1497">
        <f t="shared" si="101"/>
        <v>19600</v>
      </c>
      <c r="J3225" s="1440"/>
      <c r="K3225" s="1490"/>
      <c r="L3225" s="1490"/>
    </row>
    <row r="3226" spans="1:12" ht="37.5">
      <c r="A3226" s="1569"/>
      <c r="B3226" s="107" t="s">
        <v>2140</v>
      </c>
      <c r="C3226" s="817">
        <v>10000</v>
      </c>
      <c r="D3226" s="817">
        <v>10000</v>
      </c>
      <c r="E3226" s="184"/>
      <c r="F3226" s="267"/>
      <c r="G3226" s="233"/>
      <c r="H3226" s="1497">
        <f t="shared" si="100"/>
        <v>0</v>
      </c>
      <c r="I3226" s="1497">
        <f t="shared" si="101"/>
        <v>20000</v>
      </c>
      <c r="J3226" s="1440"/>
      <c r="K3226" s="1490"/>
      <c r="L3226" s="1490"/>
    </row>
    <row r="3227" spans="1:12" ht="75">
      <c r="A3227" s="1569"/>
      <c r="B3227" s="107" t="s">
        <v>2141</v>
      </c>
      <c r="C3227" s="817">
        <v>9900</v>
      </c>
      <c r="D3227" s="817">
        <v>9900</v>
      </c>
      <c r="E3227" s="184"/>
      <c r="F3227" s="267"/>
      <c r="G3227" s="233"/>
      <c r="H3227" s="1497">
        <f t="shared" si="100"/>
        <v>0</v>
      </c>
      <c r="I3227" s="1497">
        <f t="shared" si="101"/>
        <v>19800</v>
      </c>
      <c r="J3227" s="1440"/>
      <c r="K3227" s="1490"/>
      <c r="L3227" s="1490"/>
    </row>
    <row r="3228" spans="1:12" hidden="1">
      <c r="A3228" s="1569"/>
      <c r="B3228" s="116"/>
      <c r="C3228" s="679"/>
      <c r="D3228" s="679"/>
      <c r="E3228" s="679"/>
      <c r="F3228" s="267"/>
      <c r="G3228" s="233"/>
      <c r="H3228" s="231">
        <f t="shared" si="100"/>
        <v>0</v>
      </c>
      <c r="I3228" s="231">
        <f t="shared" si="101"/>
        <v>0</v>
      </c>
    </row>
    <row r="3229" spans="1:12" hidden="1">
      <c r="A3229" s="1569"/>
      <c r="B3229" s="116"/>
      <c r="C3229" s="679"/>
      <c r="D3229" s="679"/>
      <c r="E3229" s="654"/>
      <c r="F3229" s="267"/>
      <c r="G3229" s="233"/>
      <c r="H3229" s="231">
        <f t="shared" si="100"/>
        <v>0</v>
      </c>
      <c r="I3229" s="231">
        <f t="shared" si="101"/>
        <v>0</v>
      </c>
    </row>
    <row r="3230" spans="1:12" hidden="1">
      <c r="A3230" s="1569"/>
      <c r="B3230" s="107"/>
      <c r="C3230" s="654"/>
      <c r="D3230" s="654"/>
      <c r="E3230" s="654"/>
      <c r="F3230" s="267"/>
      <c r="G3230" s="233"/>
      <c r="H3230" s="231">
        <f t="shared" si="100"/>
        <v>0</v>
      </c>
      <c r="I3230" s="231">
        <f t="shared" si="101"/>
        <v>0</v>
      </c>
    </row>
    <row r="3231" spans="1:12" hidden="1">
      <c r="A3231" s="1569"/>
      <c r="B3231" s="107"/>
      <c r="C3231" s="654"/>
      <c r="D3231" s="654"/>
      <c r="E3231" s="256"/>
      <c r="F3231" s="267"/>
      <c r="G3231" s="233"/>
      <c r="H3231" s="231">
        <f t="shared" si="100"/>
        <v>0</v>
      </c>
      <c r="I3231" s="231">
        <f t="shared" si="101"/>
        <v>0</v>
      </c>
    </row>
    <row r="3232" spans="1:12" hidden="1">
      <c r="A3232" s="1569"/>
      <c r="B3232" s="107"/>
      <c r="C3232" s="654"/>
      <c r="D3232" s="654"/>
      <c r="E3232" s="256"/>
      <c r="F3232" s="267"/>
      <c r="G3232" s="233"/>
      <c r="H3232" s="231">
        <f t="shared" si="100"/>
        <v>0</v>
      </c>
      <c r="I3232" s="231">
        <f t="shared" si="101"/>
        <v>0</v>
      </c>
    </row>
    <row r="3233" spans="1:9" hidden="1">
      <c r="A3233" s="1569"/>
      <c r="B3233" s="107"/>
      <c r="C3233" s="654"/>
      <c r="D3233" s="654"/>
      <c r="E3233" s="256"/>
      <c r="F3233" s="267"/>
      <c r="G3233" s="233"/>
      <c r="H3233" s="231">
        <f t="shared" si="100"/>
        <v>0</v>
      </c>
      <c r="I3233" s="231">
        <f t="shared" si="101"/>
        <v>0</v>
      </c>
    </row>
    <row r="3234" spans="1:9" hidden="1">
      <c r="A3234" s="1569"/>
      <c r="B3234" s="107"/>
      <c r="C3234" s="654"/>
      <c r="D3234" s="654"/>
      <c r="E3234" s="256"/>
      <c r="F3234" s="267"/>
      <c r="G3234" s="233"/>
      <c r="H3234" s="231">
        <f t="shared" si="100"/>
        <v>0</v>
      </c>
      <c r="I3234" s="231">
        <f t="shared" si="101"/>
        <v>0</v>
      </c>
    </row>
    <row r="3235" spans="1:9" hidden="1">
      <c r="A3235" s="1569"/>
      <c r="B3235" s="116"/>
      <c r="C3235" s="679"/>
      <c r="D3235" s="679"/>
      <c r="E3235" s="256"/>
      <c r="F3235" s="267"/>
      <c r="G3235" s="233"/>
      <c r="H3235" s="231">
        <f t="shared" si="100"/>
        <v>0</v>
      </c>
      <c r="I3235" s="231">
        <f t="shared" si="101"/>
        <v>0</v>
      </c>
    </row>
    <row r="3236" spans="1:9" hidden="1">
      <c r="A3236" s="1569"/>
      <c r="B3236" s="107"/>
      <c r="C3236" s="654"/>
      <c r="D3236" s="654"/>
      <c r="E3236" s="256"/>
      <c r="F3236" s="267"/>
      <c r="G3236" s="233"/>
      <c r="H3236" s="231">
        <f t="shared" si="100"/>
        <v>0</v>
      </c>
      <c r="I3236" s="231">
        <f t="shared" si="101"/>
        <v>0</v>
      </c>
    </row>
    <row r="3237" spans="1:9" hidden="1">
      <c r="A3237" s="1569"/>
      <c r="B3237" s="107"/>
      <c r="C3237" s="654"/>
      <c r="D3237" s="654"/>
      <c r="E3237" s="256"/>
      <c r="F3237" s="267"/>
      <c r="G3237" s="233"/>
      <c r="H3237" s="231">
        <f t="shared" si="100"/>
        <v>0</v>
      </c>
      <c r="I3237" s="231">
        <f t="shared" si="101"/>
        <v>0</v>
      </c>
    </row>
    <row r="3238" spans="1:9" hidden="1">
      <c r="A3238" s="1569"/>
      <c r="B3238" s="107"/>
      <c r="C3238" s="654"/>
      <c r="D3238" s="654"/>
      <c r="E3238" s="256"/>
      <c r="F3238" s="267"/>
      <c r="G3238" s="233"/>
      <c r="H3238" s="231">
        <f t="shared" si="100"/>
        <v>0</v>
      </c>
      <c r="I3238" s="231">
        <f t="shared" si="101"/>
        <v>0</v>
      </c>
    </row>
    <row r="3239" spans="1:9" hidden="1">
      <c r="A3239" s="1569"/>
      <c r="B3239" s="107"/>
      <c r="C3239" s="654"/>
      <c r="D3239" s="654"/>
      <c r="E3239" s="256"/>
      <c r="F3239" s="267"/>
      <c r="G3239" s="233"/>
      <c r="H3239" s="231">
        <f t="shared" si="100"/>
        <v>0</v>
      </c>
      <c r="I3239" s="231">
        <f t="shared" si="101"/>
        <v>0</v>
      </c>
    </row>
    <row r="3240" spans="1:9" hidden="1">
      <c r="A3240" s="1569"/>
      <c r="B3240" s="107"/>
      <c r="C3240" s="654"/>
      <c r="D3240" s="654"/>
      <c r="E3240" s="256"/>
      <c r="F3240" s="267"/>
      <c r="G3240" s="233"/>
      <c r="H3240" s="231">
        <f t="shared" si="100"/>
        <v>0</v>
      </c>
      <c r="I3240" s="231">
        <f t="shared" si="101"/>
        <v>0</v>
      </c>
    </row>
    <row r="3241" spans="1:9" hidden="1">
      <c r="A3241" s="1569"/>
      <c r="B3241" s="107"/>
      <c r="C3241" s="654"/>
      <c r="D3241" s="654"/>
      <c r="E3241" s="256"/>
      <c r="F3241" s="267"/>
      <c r="G3241" s="233"/>
      <c r="H3241" s="231">
        <f t="shared" si="100"/>
        <v>0</v>
      </c>
      <c r="I3241" s="231">
        <f t="shared" si="101"/>
        <v>0</v>
      </c>
    </row>
    <row r="3242" spans="1:9" hidden="1">
      <c r="A3242" s="1569"/>
      <c r="B3242" s="107"/>
      <c r="C3242" s="654"/>
      <c r="D3242" s="654"/>
      <c r="E3242" s="256"/>
      <c r="F3242" s="267"/>
      <c r="G3242" s="233"/>
      <c r="H3242" s="231">
        <f t="shared" si="100"/>
        <v>0</v>
      </c>
      <c r="I3242" s="231">
        <f t="shared" si="101"/>
        <v>0</v>
      </c>
    </row>
    <row r="3243" spans="1:9" hidden="1">
      <c r="A3243" s="1569"/>
      <c r="B3243" s="107"/>
      <c r="C3243" s="654"/>
      <c r="D3243" s="654"/>
      <c r="E3243" s="256"/>
      <c r="F3243" s="267"/>
      <c r="G3243" s="233"/>
      <c r="H3243" s="231">
        <f t="shared" si="100"/>
        <v>0</v>
      </c>
      <c r="I3243" s="231">
        <f t="shared" si="101"/>
        <v>0</v>
      </c>
    </row>
    <row r="3244" spans="1:9" s="7" customFormat="1" hidden="1">
      <c r="A3244" s="1569"/>
      <c r="B3244" s="107"/>
      <c r="C3244" s="654"/>
      <c r="D3244" s="654"/>
      <c r="E3244" s="256"/>
      <c r="F3244" s="236"/>
      <c r="G3244" s="236"/>
      <c r="H3244" s="231">
        <f t="shared" si="100"/>
        <v>0</v>
      </c>
      <c r="I3244" s="231">
        <f t="shared" si="101"/>
        <v>0</v>
      </c>
    </row>
    <row r="3245" spans="1:9" s="7" customFormat="1" hidden="1">
      <c r="A3245" s="1569"/>
      <c r="B3245" s="107"/>
      <c r="C3245" s="654"/>
      <c r="D3245" s="654"/>
      <c r="E3245" s="256"/>
      <c r="F3245" s="236"/>
      <c r="G3245" s="236"/>
      <c r="H3245" s="231">
        <f t="shared" si="100"/>
        <v>0</v>
      </c>
      <c r="I3245" s="231">
        <f t="shared" si="101"/>
        <v>0</v>
      </c>
    </row>
    <row r="3246" spans="1:9" s="7" customFormat="1" hidden="1">
      <c r="A3246" s="1569"/>
      <c r="B3246" s="107"/>
      <c r="C3246" s="654"/>
      <c r="D3246" s="654"/>
      <c r="E3246" s="256"/>
      <c r="F3246" s="236"/>
      <c r="G3246" s="236"/>
      <c r="H3246" s="231">
        <f t="shared" si="100"/>
        <v>0</v>
      </c>
      <c r="I3246" s="231">
        <f t="shared" si="101"/>
        <v>0</v>
      </c>
    </row>
    <row r="3247" spans="1:9" s="7" customFormat="1" hidden="1">
      <c r="A3247" s="1569"/>
      <c r="B3247" s="107"/>
      <c r="C3247" s="654"/>
      <c r="D3247" s="654"/>
      <c r="E3247" s="256"/>
      <c r="F3247" s="236"/>
      <c r="G3247" s="236"/>
      <c r="H3247" s="231">
        <f t="shared" si="100"/>
        <v>0</v>
      </c>
      <c r="I3247" s="231">
        <f t="shared" si="101"/>
        <v>0</v>
      </c>
    </row>
    <row r="3248" spans="1:9" s="7" customFormat="1" hidden="1">
      <c r="A3248" s="1569"/>
      <c r="B3248" s="107"/>
      <c r="C3248" s="654"/>
      <c r="D3248" s="654"/>
      <c r="E3248" s="256"/>
      <c r="F3248" s="236"/>
      <c r="G3248" s="236"/>
      <c r="H3248" s="231">
        <f t="shared" si="100"/>
        <v>0</v>
      </c>
      <c r="I3248" s="231">
        <f t="shared" si="101"/>
        <v>0</v>
      </c>
    </row>
    <row r="3249" spans="1:12" s="7" customFormat="1" hidden="1">
      <c r="A3249" s="1569"/>
      <c r="B3249" s="107"/>
      <c r="C3249" s="654"/>
      <c r="D3249" s="654"/>
      <c r="E3249" s="256"/>
      <c r="F3249" s="236"/>
      <c r="G3249" s="236"/>
      <c r="H3249" s="231">
        <f t="shared" si="100"/>
        <v>0</v>
      </c>
      <c r="I3249" s="231">
        <f t="shared" si="101"/>
        <v>0</v>
      </c>
    </row>
    <row r="3250" spans="1:12" s="7" customFormat="1" hidden="1">
      <c r="A3250" s="1569"/>
      <c r="B3250" s="107"/>
      <c r="C3250" s="654"/>
      <c r="D3250" s="654"/>
      <c r="E3250" s="256"/>
      <c r="F3250" s="236"/>
      <c r="G3250" s="236"/>
      <c r="H3250" s="231">
        <f t="shared" si="100"/>
        <v>0</v>
      </c>
      <c r="I3250" s="231">
        <f t="shared" si="101"/>
        <v>0</v>
      </c>
    </row>
    <row r="3251" spans="1:12" s="7" customFormat="1" hidden="1">
      <c r="A3251" s="1569"/>
      <c r="B3251" s="107"/>
      <c r="C3251" s="654"/>
      <c r="D3251" s="654"/>
      <c r="E3251" s="256"/>
      <c r="F3251" s="236"/>
      <c r="G3251" s="236"/>
      <c r="H3251" s="231">
        <f t="shared" si="100"/>
        <v>0</v>
      </c>
      <c r="I3251" s="231">
        <f t="shared" si="101"/>
        <v>0</v>
      </c>
    </row>
    <row r="3252" spans="1:12" s="7" customFormat="1" hidden="1">
      <c r="A3252" s="1569"/>
      <c r="B3252" s="107"/>
      <c r="C3252" s="654"/>
      <c r="D3252" s="654"/>
      <c r="E3252" s="256"/>
      <c r="F3252" s="236"/>
      <c r="G3252" s="236"/>
      <c r="H3252" s="231">
        <f t="shared" si="100"/>
        <v>0</v>
      </c>
      <c r="I3252" s="231">
        <f t="shared" si="101"/>
        <v>0</v>
      </c>
    </row>
    <row r="3253" spans="1:12" s="7" customFormat="1" hidden="1">
      <c r="A3253" s="1569"/>
      <c r="B3253" s="107"/>
      <c r="C3253" s="654"/>
      <c r="D3253" s="654"/>
      <c r="E3253" s="256"/>
      <c r="F3253" s="236"/>
      <c r="G3253" s="236"/>
      <c r="H3253" s="231">
        <f t="shared" si="100"/>
        <v>0</v>
      </c>
      <c r="I3253" s="231">
        <f t="shared" si="101"/>
        <v>0</v>
      </c>
    </row>
    <row r="3254" spans="1:12" s="7" customFormat="1" hidden="1">
      <c r="A3254" s="1569"/>
      <c r="B3254" s="107"/>
      <c r="C3254" s="654"/>
      <c r="D3254" s="654"/>
      <c r="E3254" s="256"/>
      <c r="F3254" s="236"/>
      <c r="G3254" s="236"/>
      <c r="H3254" s="231">
        <f t="shared" si="100"/>
        <v>0</v>
      </c>
      <c r="I3254" s="231">
        <f t="shared" si="101"/>
        <v>0</v>
      </c>
    </row>
    <row r="3255" spans="1:12" s="7" customFormat="1">
      <c r="A3255" s="1659"/>
      <c r="B3255" s="209" t="s">
        <v>985</v>
      </c>
      <c r="C3255" s="581">
        <f>SUM(C3221:C3254)</f>
        <v>80590</v>
      </c>
      <c r="D3255" s="581">
        <f>SUM(D3221:D3254)</f>
        <v>44622</v>
      </c>
      <c r="E3255" s="581">
        <f>SUM(E3221:E3254)</f>
        <v>35968</v>
      </c>
      <c r="F3255" s="236"/>
      <c r="G3255" s="236"/>
      <c r="H3255" s="1497">
        <f t="shared" si="100"/>
        <v>0</v>
      </c>
      <c r="I3255" s="1497">
        <f t="shared" si="101"/>
        <v>161180</v>
      </c>
      <c r="J3255" s="1435"/>
      <c r="K3255" s="1491"/>
      <c r="L3255" s="1491"/>
    </row>
    <row r="3256" spans="1:12" s="7" customFormat="1" ht="37.5">
      <c r="A3256" s="1568" t="s">
        <v>1112</v>
      </c>
      <c r="B3256" s="107" t="s">
        <v>1804</v>
      </c>
      <c r="C3256" s="817">
        <v>30000</v>
      </c>
      <c r="D3256" s="817"/>
      <c r="E3256" s="184">
        <v>30000</v>
      </c>
      <c r="F3256" s="236"/>
      <c r="G3256" s="236"/>
      <c r="H3256" s="1497">
        <f t="shared" si="100"/>
        <v>0</v>
      </c>
      <c r="I3256" s="1497">
        <f t="shared" si="101"/>
        <v>60000</v>
      </c>
      <c r="J3256" s="1435"/>
      <c r="K3256" s="1491"/>
      <c r="L3256" s="1491"/>
    </row>
    <row r="3257" spans="1:12" s="7" customFormat="1" hidden="1">
      <c r="A3257" s="1569"/>
      <c r="B3257" s="782"/>
      <c r="C3257" s="783"/>
      <c r="D3257" s="783"/>
      <c r="E3257" s="784"/>
      <c r="F3257" s="236"/>
      <c r="G3257" s="236"/>
      <c r="H3257" s="231">
        <f t="shared" si="100"/>
        <v>0</v>
      </c>
      <c r="I3257" s="231">
        <f t="shared" si="101"/>
        <v>0</v>
      </c>
    </row>
    <row r="3258" spans="1:12" s="7" customFormat="1" hidden="1">
      <c r="A3258" s="1569"/>
      <c r="B3258" s="107"/>
      <c r="C3258" s="649"/>
      <c r="D3258" s="649"/>
      <c r="E3258" s="256"/>
      <c r="F3258" s="236"/>
      <c r="G3258" s="236"/>
      <c r="H3258" s="231">
        <f t="shared" si="100"/>
        <v>0</v>
      </c>
      <c r="I3258" s="231">
        <f t="shared" si="101"/>
        <v>0</v>
      </c>
    </row>
    <row r="3259" spans="1:12" s="7" customFormat="1" hidden="1">
      <c r="A3259" s="1569"/>
      <c r="B3259" s="107"/>
      <c r="C3259" s="649"/>
      <c r="D3259" s="649"/>
      <c r="E3259" s="256"/>
      <c r="F3259" s="236"/>
      <c r="G3259" s="236"/>
      <c r="H3259" s="231">
        <f t="shared" si="100"/>
        <v>0</v>
      </c>
      <c r="I3259" s="231">
        <f t="shared" si="101"/>
        <v>0</v>
      </c>
    </row>
    <row r="3260" spans="1:12" s="7" customFormat="1" hidden="1">
      <c r="A3260" s="1569"/>
      <c r="B3260" s="425"/>
      <c r="C3260" s="649"/>
      <c r="D3260" s="649"/>
      <c r="E3260" s="256"/>
      <c r="F3260" s="236"/>
      <c r="G3260" s="236"/>
      <c r="H3260" s="231">
        <f t="shared" si="100"/>
        <v>0</v>
      </c>
      <c r="I3260" s="231">
        <f t="shared" si="101"/>
        <v>0</v>
      </c>
    </row>
    <row r="3261" spans="1:12" s="7" customFormat="1" hidden="1">
      <c r="A3261" s="1569"/>
      <c r="B3261" s="425"/>
      <c r="C3261" s="580"/>
      <c r="D3261" s="580"/>
      <c r="E3261" s="580"/>
      <c r="F3261" s="236"/>
      <c r="G3261" s="236"/>
      <c r="H3261" s="231">
        <f t="shared" si="100"/>
        <v>0</v>
      </c>
      <c r="I3261" s="231">
        <f t="shared" si="101"/>
        <v>0</v>
      </c>
    </row>
    <row r="3262" spans="1:12" s="7" customFormat="1" hidden="1">
      <c r="A3262" s="1569"/>
      <c r="B3262" s="371"/>
      <c r="C3262" s="829"/>
      <c r="D3262" s="829"/>
      <c r="E3262" s="829"/>
      <c r="F3262" s="236"/>
      <c r="G3262" s="236"/>
      <c r="H3262" s="231">
        <f t="shared" si="100"/>
        <v>0</v>
      </c>
      <c r="I3262" s="231">
        <f t="shared" si="101"/>
        <v>0</v>
      </c>
    </row>
    <row r="3263" spans="1:12" s="7" customFormat="1" hidden="1">
      <c r="A3263" s="1569"/>
      <c r="B3263" s="116"/>
      <c r="C3263" s="679"/>
      <c r="D3263" s="679"/>
      <c r="E3263" s="679"/>
      <c r="F3263" s="236"/>
      <c r="G3263" s="236"/>
      <c r="H3263" s="231">
        <f t="shared" si="100"/>
        <v>0</v>
      </c>
      <c r="I3263" s="231">
        <f t="shared" si="101"/>
        <v>0</v>
      </c>
    </row>
    <row r="3264" spans="1:12" s="7" customFormat="1" hidden="1">
      <c r="A3264" s="1569"/>
      <c r="B3264" s="116"/>
      <c r="C3264" s="679"/>
      <c r="D3264" s="679"/>
      <c r="E3264" s="654"/>
      <c r="F3264" s="236"/>
      <c r="G3264" s="236"/>
      <c r="H3264" s="231">
        <f t="shared" si="100"/>
        <v>0</v>
      </c>
      <c r="I3264" s="231">
        <f t="shared" si="101"/>
        <v>0</v>
      </c>
    </row>
    <row r="3265" spans="1:9" s="7" customFormat="1" hidden="1">
      <c r="A3265" s="1569"/>
      <c r="B3265" s="107"/>
      <c r="C3265" s="654"/>
      <c r="D3265" s="654"/>
      <c r="E3265" s="654"/>
      <c r="F3265" s="236"/>
      <c r="G3265" s="236"/>
      <c r="H3265" s="231">
        <f t="shared" si="100"/>
        <v>0</v>
      </c>
      <c r="I3265" s="231">
        <f t="shared" si="101"/>
        <v>0</v>
      </c>
    </row>
    <row r="3266" spans="1:9" s="7" customFormat="1" hidden="1">
      <c r="A3266" s="1569"/>
      <c r="B3266" s="107"/>
      <c r="C3266" s="654"/>
      <c r="D3266" s="654"/>
      <c r="E3266" s="256"/>
      <c r="F3266" s="236"/>
      <c r="G3266" s="236"/>
      <c r="H3266" s="231">
        <f t="shared" si="100"/>
        <v>0</v>
      </c>
      <c r="I3266" s="231">
        <f t="shared" si="101"/>
        <v>0</v>
      </c>
    </row>
    <row r="3267" spans="1:9" s="7" customFormat="1" hidden="1">
      <c r="A3267" s="1569"/>
      <c r="B3267" s="107"/>
      <c r="C3267" s="654"/>
      <c r="D3267" s="654"/>
      <c r="E3267" s="256"/>
      <c r="F3267" s="236"/>
      <c r="G3267" s="236"/>
      <c r="H3267" s="231">
        <f t="shared" si="100"/>
        <v>0</v>
      </c>
      <c r="I3267" s="231">
        <f t="shared" si="101"/>
        <v>0</v>
      </c>
    </row>
    <row r="3268" spans="1:9" s="7" customFormat="1" hidden="1">
      <c r="A3268" s="1569"/>
      <c r="B3268" s="107"/>
      <c r="C3268" s="654"/>
      <c r="D3268" s="654"/>
      <c r="E3268" s="256"/>
      <c r="F3268" s="236"/>
      <c r="G3268" s="236"/>
      <c r="H3268" s="231">
        <f t="shared" si="100"/>
        <v>0</v>
      </c>
      <c r="I3268" s="231">
        <f t="shared" si="101"/>
        <v>0</v>
      </c>
    </row>
    <row r="3269" spans="1:9" s="7" customFormat="1" hidden="1">
      <c r="A3269" s="1569"/>
      <c r="B3269" s="107"/>
      <c r="C3269" s="654"/>
      <c r="D3269" s="654"/>
      <c r="E3269" s="256"/>
      <c r="F3269" s="236"/>
      <c r="G3269" s="236"/>
      <c r="H3269" s="231">
        <f t="shared" si="100"/>
        <v>0</v>
      </c>
      <c r="I3269" s="231">
        <f t="shared" si="101"/>
        <v>0</v>
      </c>
    </row>
    <row r="3270" spans="1:9" s="7" customFormat="1" hidden="1">
      <c r="A3270" s="1569"/>
      <c r="B3270" s="116"/>
      <c r="C3270" s="679"/>
      <c r="D3270" s="679"/>
      <c r="E3270" s="256"/>
      <c r="F3270" s="236"/>
      <c r="G3270" s="236"/>
      <c r="H3270" s="231">
        <f t="shared" si="100"/>
        <v>0</v>
      </c>
      <c r="I3270" s="231">
        <f t="shared" si="101"/>
        <v>0</v>
      </c>
    </row>
    <row r="3271" spans="1:9" s="7" customFormat="1" hidden="1">
      <c r="A3271" s="1569"/>
      <c r="B3271" s="107"/>
      <c r="C3271" s="654"/>
      <c r="D3271" s="654"/>
      <c r="E3271" s="256"/>
      <c r="F3271" s="236"/>
      <c r="G3271" s="236"/>
      <c r="H3271" s="231">
        <f t="shared" si="100"/>
        <v>0</v>
      </c>
      <c r="I3271" s="231">
        <f t="shared" si="101"/>
        <v>0</v>
      </c>
    </row>
    <row r="3272" spans="1:9" s="7" customFormat="1" hidden="1">
      <c r="A3272" s="1569"/>
      <c r="B3272" s="107"/>
      <c r="C3272" s="654"/>
      <c r="D3272" s="654"/>
      <c r="E3272" s="256"/>
      <c r="F3272" s="236"/>
      <c r="G3272" s="236"/>
      <c r="H3272" s="231">
        <f t="shared" si="100"/>
        <v>0</v>
      </c>
      <c r="I3272" s="231">
        <f t="shared" si="101"/>
        <v>0</v>
      </c>
    </row>
    <row r="3273" spans="1:9" s="7" customFormat="1" hidden="1">
      <c r="A3273" s="1569"/>
      <c r="B3273" s="107"/>
      <c r="C3273" s="654"/>
      <c r="D3273" s="654"/>
      <c r="E3273" s="256"/>
      <c r="F3273" s="236"/>
      <c r="G3273" s="236"/>
      <c r="H3273" s="231">
        <f t="shared" ref="H3273:H3336" si="102">E3273+D3273-C3273</f>
        <v>0</v>
      </c>
      <c r="I3273" s="231">
        <f t="shared" ref="I3273:I3336" si="103">SUM(C3273:E3273)</f>
        <v>0</v>
      </c>
    </row>
    <row r="3274" spans="1:9" s="7" customFormat="1" hidden="1">
      <c r="A3274" s="1569"/>
      <c r="B3274" s="107"/>
      <c r="C3274" s="654"/>
      <c r="D3274" s="654"/>
      <c r="E3274" s="256"/>
      <c r="F3274" s="236"/>
      <c r="G3274" s="236"/>
      <c r="H3274" s="231">
        <f t="shared" si="102"/>
        <v>0</v>
      </c>
      <c r="I3274" s="231">
        <f t="shared" si="103"/>
        <v>0</v>
      </c>
    </row>
    <row r="3275" spans="1:9" s="7" customFormat="1" hidden="1">
      <c r="A3275" s="1569"/>
      <c r="B3275" s="107"/>
      <c r="C3275" s="654"/>
      <c r="D3275" s="654"/>
      <c r="E3275" s="256"/>
      <c r="F3275" s="236"/>
      <c r="G3275" s="236"/>
      <c r="H3275" s="231">
        <f t="shared" si="102"/>
        <v>0</v>
      </c>
      <c r="I3275" s="231">
        <f t="shared" si="103"/>
        <v>0</v>
      </c>
    </row>
    <row r="3276" spans="1:9" s="7" customFormat="1" hidden="1">
      <c r="A3276" s="1569"/>
      <c r="B3276" s="107"/>
      <c r="C3276" s="654"/>
      <c r="D3276" s="654"/>
      <c r="E3276" s="256"/>
      <c r="F3276" s="236"/>
      <c r="G3276" s="236"/>
      <c r="H3276" s="231">
        <f t="shared" si="102"/>
        <v>0</v>
      </c>
      <c r="I3276" s="231">
        <f t="shared" si="103"/>
        <v>0</v>
      </c>
    </row>
    <row r="3277" spans="1:9" s="7" customFormat="1" hidden="1">
      <c r="A3277" s="1569"/>
      <c r="B3277" s="107"/>
      <c r="C3277" s="654"/>
      <c r="D3277" s="654"/>
      <c r="E3277" s="256"/>
      <c r="F3277" s="236"/>
      <c r="G3277" s="236"/>
      <c r="H3277" s="231">
        <f t="shared" si="102"/>
        <v>0</v>
      </c>
      <c r="I3277" s="231">
        <f t="shared" si="103"/>
        <v>0</v>
      </c>
    </row>
    <row r="3278" spans="1:9" s="7" customFormat="1" hidden="1">
      <c r="A3278" s="1569"/>
      <c r="B3278" s="107"/>
      <c r="C3278" s="654"/>
      <c r="D3278" s="654"/>
      <c r="E3278" s="256"/>
      <c r="F3278" s="236"/>
      <c r="G3278" s="236"/>
      <c r="H3278" s="231">
        <f t="shared" si="102"/>
        <v>0</v>
      </c>
      <c r="I3278" s="231">
        <f t="shared" si="103"/>
        <v>0</v>
      </c>
    </row>
    <row r="3279" spans="1:9" s="7" customFormat="1" hidden="1">
      <c r="A3279" s="1569"/>
      <c r="B3279" s="107"/>
      <c r="C3279" s="654"/>
      <c r="D3279" s="654"/>
      <c r="E3279" s="256"/>
      <c r="F3279" s="236"/>
      <c r="G3279" s="236"/>
      <c r="H3279" s="231">
        <f t="shared" si="102"/>
        <v>0</v>
      </c>
      <c r="I3279" s="231">
        <f t="shared" si="103"/>
        <v>0</v>
      </c>
    </row>
    <row r="3280" spans="1:9" s="7" customFormat="1" hidden="1">
      <c r="A3280" s="1569"/>
      <c r="B3280" s="107"/>
      <c r="C3280" s="654"/>
      <c r="D3280" s="654"/>
      <c r="E3280" s="256"/>
      <c r="F3280" s="236"/>
      <c r="G3280" s="236"/>
      <c r="H3280" s="231">
        <f t="shared" si="102"/>
        <v>0</v>
      </c>
      <c r="I3280" s="231">
        <f t="shared" si="103"/>
        <v>0</v>
      </c>
    </row>
    <row r="3281" spans="1:12" s="7" customFormat="1" hidden="1">
      <c r="A3281" s="1569"/>
      <c r="B3281" s="107"/>
      <c r="C3281" s="654"/>
      <c r="D3281" s="654"/>
      <c r="E3281" s="256"/>
      <c r="F3281" s="236"/>
      <c r="G3281" s="236"/>
      <c r="H3281" s="231">
        <f t="shared" si="102"/>
        <v>0</v>
      </c>
      <c r="I3281" s="231">
        <f t="shared" si="103"/>
        <v>0</v>
      </c>
    </row>
    <row r="3282" spans="1:12" s="7" customFormat="1" hidden="1">
      <c r="A3282" s="1569"/>
      <c r="B3282" s="107"/>
      <c r="C3282" s="654"/>
      <c r="D3282" s="654"/>
      <c r="E3282" s="256"/>
      <c r="F3282" s="236"/>
      <c r="G3282" s="236"/>
      <c r="H3282" s="231">
        <f t="shared" si="102"/>
        <v>0</v>
      </c>
      <c r="I3282" s="231">
        <f t="shared" si="103"/>
        <v>0</v>
      </c>
    </row>
    <row r="3283" spans="1:12" s="7" customFormat="1" hidden="1">
      <c r="A3283" s="1569"/>
      <c r="B3283" s="107"/>
      <c r="C3283" s="654"/>
      <c r="D3283" s="654"/>
      <c r="E3283" s="256"/>
      <c r="F3283" s="236"/>
      <c r="G3283" s="236"/>
      <c r="H3283" s="231">
        <f t="shared" si="102"/>
        <v>0</v>
      </c>
      <c r="I3283" s="231">
        <f t="shared" si="103"/>
        <v>0</v>
      </c>
    </row>
    <row r="3284" spans="1:12" s="7" customFormat="1" hidden="1">
      <c r="A3284" s="1569"/>
      <c r="B3284" s="107"/>
      <c r="C3284" s="654"/>
      <c r="D3284" s="654"/>
      <c r="E3284" s="256"/>
      <c r="F3284" s="236"/>
      <c r="G3284" s="236"/>
      <c r="H3284" s="231">
        <f t="shared" si="102"/>
        <v>0</v>
      </c>
      <c r="I3284" s="231">
        <f t="shared" si="103"/>
        <v>0</v>
      </c>
    </row>
    <row r="3285" spans="1:12" s="7" customFormat="1" hidden="1">
      <c r="A3285" s="1569"/>
      <c r="B3285" s="107"/>
      <c r="C3285" s="654"/>
      <c r="D3285" s="654"/>
      <c r="E3285" s="256"/>
      <c r="F3285" s="236"/>
      <c r="G3285" s="236"/>
      <c r="H3285" s="231">
        <f t="shared" si="102"/>
        <v>0</v>
      </c>
      <c r="I3285" s="231">
        <f t="shared" si="103"/>
        <v>0</v>
      </c>
    </row>
    <row r="3286" spans="1:12" s="7" customFormat="1" hidden="1">
      <c r="A3286" s="1569"/>
      <c r="B3286" s="107"/>
      <c r="C3286" s="654"/>
      <c r="D3286" s="654"/>
      <c r="E3286" s="256"/>
      <c r="F3286" s="236"/>
      <c r="G3286" s="236"/>
      <c r="H3286" s="231">
        <f t="shared" si="102"/>
        <v>0</v>
      </c>
      <c r="I3286" s="231">
        <f t="shared" si="103"/>
        <v>0</v>
      </c>
    </row>
    <row r="3287" spans="1:12" s="7" customFormat="1" hidden="1">
      <c r="A3287" s="1569"/>
      <c r="B3287" s="107"/>
      <c r="C3287" s="654"/>
      <c r="D3287" s="654"/>
      <c r="E3287" s="256"/>
      <c r="F3287" s="236"/>
      <c r="G3287" s="236"/>
      <c r="H3287" s="231">
        <f t="shared" si="102"/>
        <v>0</v>
      </c>
      <c r="I3287" s="231">
        <f t="shared" si="103"/>
        <v>0</v>
      </c>
    </row>
    <row r="3288" spans="1:12" s="7" customFormat="1" hidden="1">
      <c r="A3288" s="1569"/>
      <c r="B3288" s="107"/>
      <c r="C3288" s="654"/>
      <c r="D3288" s="654"/>
      <c r="E3288" s="256"/>
      <c r="F3288" s="236"/>
      <c r="G3288" s="236"/>
      <c r="H3288" s="231">
        <f t="shared" si="102"/>
        <v>0</v>
      </c>
      <c r="I3288" s="231">
        <f t="shared" si="103"/>
        <v>0</v>
      </c>
    </row>
    <row r="3289" spans="1:12" s="7" customFormat="1" hidden="1">
      <c r="A3289" s="1569"/>
      <c r="B3289" s="107"/>
      <c r="C3289" s="654"/>
      <c r="D3289" s="654"/>
      <c r="E3289" s="256"/>
      <c r="F3289" s="236"/>
      <c r="G3289" s="236"/>
      <c r="H3289" s="231">
        <f t="shared" si="102"/>
        <v>0</v>
      </c>
      <c r="I3289" s="231">
        <f t="shared" si="103"/>
        <v>0</v>
      </c>
    </row>
    <row r="3290" spans="1:12" s="7" customFormat="1">
      <c r="A3290" s="1659"/>
      <c r="B3290" s="209" t="s">
        <v>985</v>
      </c>
      <c r="C3290" s="735">
        <f>SUM(C3256:C3289)</f>
        <v>30000</v>
      </c>
      <c r="D3290" s="735">
        <f>SUM(D3256:D3289)</f>
        <v>0</v>
      </c>
      <c r="E3290" s="735">
        <f>SUM(E3256:E3289)</f>
        <v>30000</v>
      </c>
      <c r="F3290" s="236"/>
      <c r="G3290" s="236"/>
      <c r="H3290" s="1497">
        <f t="shared" si="102"/>
        <v>0</v>
      </c>
      <c r="I3290" s="1497">
        <f t="shared" si="103"/>
        <v>60000</v>
      </c>
      <c r="J3290" s="1435"/>
      <c r="K3290" s="1491"/>
      <c r="L3290" s="1491"/>
    </row>
    <row r="3291" spans="1:12" s="7" customFormat="1" ht="112.5">
      <c r="A3291" s="1568" t="s">
        <v>1113</v>
      </c>
      <c r="B3291" s="107" t="s">
        <v>773</v>
      </c>
      <c r="C3291" s="590">
        <v>65000</v>
      </c>
      <c r="D3291" s="590"/>
      <c r="E3291" s="590">
        <v>65000</v>
      </c>
      <c r="F3291" s="236"/>
      <c r="G3291" s="236"/>
      <c r="H3291" s="1497">
        <f t="shared" si="102"/>
        <v>0</v>
      </c>
      <c r="I3291" s="1497">
        <f t="shared" si="103"/>
        <v>130000</v>
      </c>
      <c r="J3291" s="1435"/>
      <c r="K3291" s="1491"/>
      <c r="L3291" s="1491"/>
    </row>
    <row r="3292" spans="1:12" s="7" customFormat="1" ht="75">
      <c r="A3292" s="1569"/>
      <c r="B3292" s="1215" t="s">
        <v>1414</v>
      </c>
      <c r="C3292" s="1214">
        <v>11000</v>
      </c>
      <c r="D3292" s="256">
        <v>11000</v>
      </c>
      <c r="E3292" s="256"/>
      <c r="F3292" s="236"/>
      <c r="G3292" s="236"/>
      <c r="H3292" s="1497">
        <f t="shared" si="102"/>
        <v>0</v>
      </c>
      <c r="I3292" s="1497">
        <f t="shared" si="103"/>
        <v>22000</v>
      </c>
      <c r="J3292" s="1435"/>
      <c r="K3292" s="1491"/>
      <c r="L3292" s="1491"/>
    </row>
    <row r="3293" spans="1:12" s="7" customFormat="1" ht="56.25">
      <c r="A3293" s="1569"/>
      <c r="B3293" s="1215" t="s">
        <v>1415</v>
      </c>
      <c r="C3293" s="1214">
        <v>13000</v>
      </c>
      <c r="D3293" s="256"/>
      <c r="E3293" s="256">
        <v>13000</v>
      </c>
      <c r="F3293" s="236"/>
      <c r="G3293" s="236"/>
      <c r="H3293" s="1497">
        <f t="shared" si="102"/>
        <v>0</v>
      </c>
      <c r="I3293" s="1497">
        <f t="shared" si="103"/>
        <v>26000</v>
      </c>
      <c r="J3293" s="1435"/>
      <c r="K3293" s="1491"/>
      <c r="L3293" s="1491"/>
    </row>
    <row r="3294" spans="1:12" s="7" customFormat="1" ht="37.5">
      <c r="A3294" s="1569"/>
      <c r="B3294" s="1223" t="s">
        <v>1416</v>
      </c>
      <c r="C3294" s="1214">
        <v>100000</v>
      </c>
      <c r="D3294" s="256">
        <v>100000</v>
      </c>
      <c r="E3294" s="256"/>
      <c r="F3294" s="236"/>
      <c r="G3294" s="236"/>
      <c r="H3294" s="1497">
        <f t="shared" si="102"/>
        <v>0</v>
      </c>
      <c r="I3294" s="1497">
        <f t="shared" si="103"/>
        <v>200000</v>
      </c>
      <c r="J3294" s="1435"/>
      <c r="K3294" s="1491"/>
      <c r="L3294" s="1491"/>
    </row>
    <row r="3295" spans="1:12" s="7" customFormat="1" ht="37.5">
      <c r="A3295" s="1569"/>
      <c r="B3295" s="425" t="s">
        <v>2142</v>
      </c>
      <c r="C3295" s="1227">
        <v>15000</v>
      </c>
      <c r="D3295" s="1227"/>
      <c r="E3295" s="1227">
        <v>15000</v>
      </c>
      <c r="F3295" s="236"/>
      <c r="G3295" s="236"/>
      <c r="H3295" s="1497">
        <f t="shared" si="102"/>
        <v>0</v>
      </c>
      <c r="I3295" s="1497">
        <f t="shared" si="103"/>
        <v>30000</v>
      </c>
      <c r="J3295" s="1435"/>
      <c r="K3295" s="1491"/>
      <c r="L3295" s="1491"/>
    </row>
    <row r="3296" spans="1:12" s="7" customFormat="1" ht="56.25">
      <c r="A3296" s="1569"/>
      <c r="B3296" s="425" t="s">
        <v>2143</v>
      </c>
      <c r="C3296" s="1227">
        <v>20000</v>
      </c>
      <c r="D3296" s="1227"/>
      <c r="E3296" s="1227">
        <v>20000</v>
      </c>
      <c r="F3296" s="236"/>
      <c r="G3296" s="236"/>
      <c r="H3296" s="1497">
        <f t="shared" si="102"/>
        <v>0</v>
      </c>
      <c r="I3296" s="1497">
        <f t="shared" si="103"/>
        <v>40000</v>
      </c>
      <c r="J3296" s="1435"/>
      <c r="K3296" s="1491"/>
      <c r="L3296" s="1491"/>
    </row>
    <row r="3297" spans="1:12" s="7" customFormat="1" ht="75">
      <c r="A3297" s="1569"/>
      <c r="B3297" s="107" t="s">
        <v>2144</v>
      </c>
      <c r="C3297" s="817">
        <v>47112</v>
      </c>
      <c r="D3297" s="817">
        <v>40000</v>
      </c>
      <c r="E3297" s="184">
        <v>7112</v>
      </c>
      <c r="F3297" s="236"/>
      <c r="G3297" s="236"/>
      <c r="H3297" s="1497">
        <f t="shared" si="102"/>
        <v>0</v>
      </c>
      <c r="I3297" s="1497">
        <f t="shared" si="103"/>
        <v>94224</v>
      </c>
      <c r="J3297" s="1435"/>
      <c r="K3297" s="1491"/>
      <c r="L3297" s="1491"/>
    </row>
    <row r="3298" spans="1:12" s="7" customFormat="1" ht="37.5">
      <c r="A3298" s="1569"/>
      <c r="B3298" s="107" t="s">
        <v>2145</v>
      </c>
      <c r="C3298" s="817">
        <v>15000</v>
      </c>
      <c r="D3298" s="817">
        <v>15000</v>
      </c>
      <c r="E3298" s="184"/>
      <c r="F3298" s="236"/>
      <c r="G3298" s="236"/>
      <c r="H3298" s="1497">
        <f t="shared" si="102"/>
        <v>0</v>
      </c>
      <c r="I3298" s="1497">
        <f t="shared" si="103"/>
        <v>30000</v>
      </c>
      <c r="J3298" s="1435"/>
      <c r="K3298" s="1491"/>
      <c r="L3298" s="1491"/>
    </row>
    <row r="3299" spans="1:12" s="7" customFormat="1" hidden="1">
      <c r="A3299" s="1569"/>
      <c r="B3299" s="371"/>
      <c r="C3299" s="851"/>
      <c r="D3299" s="851"/>
      <c r="E3299" s="852"/>
      <c r="F3299" s="236"/>
      <c r="G3299" s="236"/>
      <c r="H3299" s="231">
        <f t="shared" si="102"/>
        <v>0</v>
      </c>
      <c r="I3299" s="231">
        <f t="shared" si="103"/>
        <v>0</v>
      </c>
    </row>
    <row r="3300" spans="1:12" s="7" customFormat="1" hidden="1">
      <c r="A3300" s="1569"/>
      <c r="B3300" s="371"/>
      <c r="C3300" s="850"/>
      <c r="D3300" s="850"/>
      <c r="E3300" s="850"/>
      <c r="F3300" s="236"/>
      <c r="G3300" s="236"/>
      <c r="H3300" s="231">
        <f t="shared" si="102"/>
        <v>0</v>
      </c>
      <c r="I3300" s="231">
        <f t="shared" si="103"/>
        <v>0</v>
      </c>
    </row>
    <row r="3301" spans="1:12" s="7" customFormat="1" hidden="1">
      <c r="A3301" s="1569"/>
      <c r="B3301" s="371"/>
      <c r="C3301" s="851"/>
      <c r="D3301" s="851"/>
      <c r="E3301" s="852"/>
      <c r="F3301" s="236"/>
      <c r="G3301" s="236"/>
      <c r="H3301" s="231">
        <f t="shared" si="102"/>
        <v>0</v>
      </c>
      <c r="I3301" s="231">
        <f t="shared" si="103"/>
        <v>0</v>
      </c>
    </row>
    <row r="3302" spans="1:12" s="7" customFormat="1" hidden="1">
      <c r="A3302" s="1569"/>
      <c r="B3302" s="107"/>
      <c r="C3302" s="654"/>
      <c r="D3302" s="654"/>
      <c r="E3302" s="256"/>
      <c r="F3302" s="236"/>
      <c r="G3302" s="236"/>
      <c r="H3302" s="231">
        <f t="shared" si="102"/>
        <v>0</v>
      </c>
      <c r="I3302" s="231">
        <f t="shared" si="103"/>
        <v>0</v>
      </c>
    </row>
    <row r="3303" spans="1:12" s="7" customFormat="1" hidden="1">
      <c r="A3303" s="1569"/>
      <c r="B3303" s="107"/>
      <c r="C3303" s="654"/>
      <c r="D3303" s="654"/>
      <c r="E3303" s="256"/>
      <c r="F3303" s="236"/>
      <c r="G3303" s="236"/>
      <c r="H3303" s="231">
        <f t="shared" si="102"/>
        <v>0</v>
      </c>
      <c r="I3303" s="231">
        <f t="shared" si="103"/>
        <v>0</v>
      </c>
    </row>
    <row r="3304" spans="1:12" s="7" customFormat="1" hidden="1">
      <c r="A3304" s="1569"/>
      <c r="B3304" s="107"/>
      <c r="C3304" s="654"/>
      <c r="D3304" s="654"/>
      <c r="E3304" s="256"/>
      <c r="F3304" s="236"/>
      <c r="G3304" s="236"/>
      <c r="H3304" s="231">
        <f t="shared" si="102"/>
        <v>0</v>
      </c>
      <c r="I3304" s="231">
        <f t="shared" si="103"/>
        <v>0</v>
      </c>
    </row>
    <row r="3305" spans="1:12" s="7" customFormat="1" hidden="1">
      <c r="A3305" s="1569"/>
      <c r="B3305" s="116"/>
      <c r="C3305" s="679"/>
      <c r="D3305" s="679"/>
      <c r="E3305" s="256"/>
      <c r="F3305" s="236"/>
      <c r="G3305" s="236"/>
      <c r="H3305" s="231">
        <f t="shared" si="102"/>
        <v>0</v>
      </c>
      <c r="I3305" s="231">
        <f t="shared" si="103"/>
        <v>0</v>
      </c>
    </row>
    <row r="3306" spans="1:12" s="7" customFormat="1" hidden="1">
      <c r="A3306" s="1569"/>
      <c r="B3306" s="107"/>
      <c r="C3306" s="654"/>
      <c r="D3306" s="654"/>
      <c r="E3306" s="256"/>
      <c r="F3306" s="236"/>
      <c r="G3306" s="236"/>
      <c r="H3306" s="231">
        <f t="shared" si="102"/>
        <v>0</v>
      </c>
      <c r="I3306" s="231">
        <f t="shared" si="103"/>
        <v>0</v>
      </c>
    </row>
    <row r="3307" spans="1:12" s="7" customFormat="1" hidden="1">
      <c r="A3307" s="1569"/>
      <c r="B3307" s="107"/>
      <c r="C3307" s="654"/>
      <c r="D3307" s="654"/>
      <c r="E3307" s="256"/>
      <c r="F3307" s="236"/>
      <c r="G3307" s="236"/>
      <c r="H3307" s="231">
        <f t="shared" si="102"/>
        <v>0</v>
      </c>
      <c r="I3307" s="231">
        <f t="shared" si="103"/>
        <v>0</v>
      </c>
    </row>
    <row r="3308" spans="1:12" s="7" customFormat="1" hidden="1">
      <c r="A3308" s="1569"/>
      <c r="B3308" s="107"/>
      <c r="C3308" s="654"/>
      <c r="D3308" s="654"/>
      <c r="E3308" s="256"/>
      <c r="F3308" s="236"/>
      <c r="G3308" s="236"/>
      <c r="H3308" s="231">
        <f t="shared" si="102"/>
        <v>0</v>
      </c>
      <c r="I3308" s="231">
        <f t="shared" si="103"/>
        <v>0</v>
      </c>
    </row>
    <row r="3309" spans="1:12" s="7" customFormat="1" hidden="1">
      <c r="A3309" s="1569"/>
      <c r="B3309" s="107"/>
      <c r="C3309" s="654"/>
      <c r="D3309" s="654"/>
      <c r="E3309" s="256"/>
      <c r="F3309" s="236"/>
      <c r="G3309" s="236"/>
      <c r="H3309" s="231">
        <f t="shared" si="102"/>
        <v>0</v>
      </c>
      <c r="I3309" s="231">
        <f t="shared" si="103"/>
        <v>0</v>
      </c>
    </row>
    <row r="3310" spans="1:12" s="7" customFormat="1" hidden="1">
      <c r="A3310" s="1569"/>
      <c r="B3310" s="107"/>
      <c r="C3310" s="654"/>
      <c r="D3310" s="654"/>
      <c r="E3310" s="256"/>
      <c r="F3310" s="236"/>
      <c r="G3310" s="236"/>
      <c r="H3310" s="231">
        <f t="shared" si="102"/>
        <v>0</v>
      </c>
      <c r="I3310" s="231">
        <f t="shared" si="103"/>
        <v>0</v>
      </c>
    </row>
    <row r="3311" spans="1:12" s="7" customFormat="1" hidden="1">
      <c r="A3311" s="1569"/>
      <c r="B3311" s="107"/>
      <c r="C3311" s="654"/>
      <c r="D3311" s="654"/>
      <c r="E3311" s="256"/>
      <c r="F3311" s="236"/>
      <c r="G3311" s="236"/>
      <c r="H3311" s="231">
        <f t="shared" si="102"/>
        <v>0</v>
      </c>
      <c r="I3311" s="231">
        <f t="shared" si="103"/>
        <v>0</v>
      </c>
    </row>
    <row r="3312" spans="1:12" s="7" customFormat="1" hidden="1">
      <c r="A3312" s="1569"/>
      <c r="B3312" s="107"/>
      <c r="C3312" s="654"/>
      <c r="D3312" s="654"/>
      <c r="E3312" s="256"/>
      <c r="F3312" s="236"/>
      <c r="G3312" s="236"/>
      <c r="H3312" s="231">
        <f t="shared" si="102"/>
        <v>0</v>
      </c>
      <c r="I3312" s="231">
        <f t="shared" si="103"/>
        <v>0</v>
      </c>
    </row>
    <row r="3313" spans="1:12" s="7" customFormat="1" hidden="1">
      <c r="A3313" s="1569"/>
      <c r="B3313" s="107"/>
      <c r="C3313" s="654"/>
      <c r="D3313" s="654"/>
      <c r="E3313" s="256"/>
      <c r="F3313" s="236"/>
      <c r="G3313" s="236"/>
      <c r="H3313" s="231">
        <f t="shared" si="102"/>
        <v>0</v>
      </c>
      <c r="I3313" s="231">
        <f t="shared" si="103"/>
        <v>0</v>
      </c>
    </row>
    <row r="3314" spans="1:12" s="7" customFormat="1" hidden="1">
      <c r="A3314" s="1569"/>
      <c r="B3314" s="107"/>
      <c r="C3314" s="654"/>
      <c r="D3314" s="654"/>
      <c r="E3314" s="256"/>
      <c r="F3314" s="236"/>
      <c r="G3314" s="236"/>
      <c r="H3314" s="231">
        <f t="shared" si="102"/>
        <v>0</v>
      </c>
      <c r="I3314" s="231">
        <f t="shared" si="103"/>
        <v>0</v>
      </c>
    </row>
    <row r="3315" spans="1:12" s="7" customFormat="1" hidden="1">
      <c r="A3315" s="1569"/>
      <c r="B3315" s="107"/>
      <c r="C3315" s="654"/>
      <c r="D3315" s="654"/>
      <c r="E3315" s="256"/>
      <c r="F3315" s="236"/>
      <c r="G3315" s="236"/>
      <c r="H3315" s="231">
        <f t="shared" si="102"/>
        <v>0</v>
      </c>
      <c r="I3315" s="231">
        <f t="shared" si="103"/>
        <v>0</v>
      </c>
    </row>
    <row r="3316" spans="1:12" s="7" customFormat="1" hidden="1">
      <c r="A3316" s="1569"/>
      <c r="B3316" s="107"/>
      <c r="C3316" s="654"/>
      <c r="D3316" s="654"/>
      <c r="E3316" s="256"/>
      <c r="F3316" s="236"/>
      <c r="G3316" s="236"/>
      <c r="H3316" s="231">
        <f t="shared" si="102"/>
        <v>0</v>
      </c>
      <c r="I3316" s="231">
        <f t="shared" si="103"/>
        <v>0</v>
      </c>
    </row>
    <row r="3317" spans="1:12" s="7" customFormat="1" hidden="1">
      <c r="A3317" s="1569"/>
      <c r="B3317" s="107"/>
      <c r="C3317" s="654"/>
      <c r="D3317" s="654"/>
      <c r="E3317" s="256"/>
      <c r="F3317" s="236"/>
      <c r="G3317" s="236"/>
      <c r="H3317" s="231">
        <f t="shared" si="102"/>
        <v>0</v>
      </c>
      <c r="I3317" s="231">
        <f t="shared" si="103"/>
        <v>0</v>
      </c>
    </row>
    <row r="3318" spans="1:12" s="7" customFormat="1" hidden="1">
      <c r="A3318" s="1569"/>
      <c r="B3318" s="107"/>
      <c r="C3318" s="654"/>
      <c r="D3318" s="654"/>
      <c r="E3318" s="256"/>
      <c r="F3318" s="236"/>
      <c r="G3318" s="236"/>
      <c r="H3318" s="231">
        <f t="shared" si="102"/>
        <v>0</v>
      </c>
      <c r="I3318" s="231">
        <f t="shared" si="103"/>
        <v>0</v>
      </c>
    </row>
    <row r="3319" spans="1:12" s="7" customFormat="1" hidden="1">
      <c r="A3319" s="1569"/>
      <c r="B3319" s="107"/>
      <c r="C3319" s="654"/>
      <c r="D3319" s="654"/>
      <c r="E3319" s="256"/>
      <c r="F3319" s="236"/>
      <c r="G3319" s="236"/>
      <c r="H3319" s="231">
        <f t="shared" si="102"/>
        <v>0</v>
      </c>
      <c r="I3319" s="231">
        <f t="shared" si="103"/>
        <v>0</v>
      </c>
    </row>
    <row r="3320" spans="1:12" s="7" customFormat="1" hidden="1">
      <c r="A3320" s="1569"/>
      <c r="B3320" s="107"/>
      <c r="C3320" s="654"/>
      <c r="D3320" s="654"/>
      <c r="E3320" s="256"/>
      <c r="F3320" s="236"/>
      <c r="G3320" s="236"/>
      <c r="H3320" s="231">
        <f t="shared" si="102"/>
        <v>0</v>
      </c>
      <c r="I3320" s="231">
        <f t="shared" si="103"/>
        <v>0</v>
      </c>
    </row>
    <row r="3321" spans="1:12" s="7" customFormat="1" hidden="1">
      <c r="A3321" s="1569"/>
      <c r="B3321" s="107"/>
      <c r="C3321" s="654"/>
      <c r="D3321" s="654"/>
      <c r="E3321" s="256"/>
      <c r="F3321" s="236"/>
      <c r="G3321" s="236"/>
      <c r="H3321" s="231">
        <f t="shared" si="102"/>
        <v>0</v>
      </c>
      <c r="I3321" s="231">
        <f t="shared" si="103"/>
        <v>0</v>
      </c>
    </row>
    <row r="3322" spans="1:12" s="7" customFormat="1" hidden="1">
      <c r="A3322" s="1569"/>
      <c r="B3322" s="107"/>
      <c r="C3322" s="654"/>
      <c r="D3322" s="654"/>
      <c r="E3322" s="256"/>
      <c r="F3322" s="236"/>
      <c r="G3322" s="236"/>
      <c r="H3322" s="231">
        <f t="shared" si="102"/>
        <v>0</v>
      </c>
      <c r="I3322" s="231">
        <f t="shared" si="103"/>
        <v>0</v>
      </c>
    </row>
    <row r="3323" spans="1:12" s="7" customFormat="1" hidden="1">
      <c r="A3323" s="1569"/>
      <c r="B3323" s="107"/>
      <c r="C3323" s="654"/>
      <c r="D3323" s="654"/>
      <c r="E3323" s="256"/>
      <c r="F3323" s="236"/>
      <c r="G3323" s="236"/>
      <c r="H3323" s="231">
        <f t="shared" si="102"/>
        <v>0</v>
      </c>
      <c r="I3323" s="231">
        <f t="shared" si="103"/>
        <v>0</v>
      </c>
    </row>
    <row r="3324" spans="1:12" s="7" customFormat="1" hidden="1">
      <c r="A3324" s="1569"/>
      <c r="B3324" s="107"/>
      <c r="C3324" s="654"/>
      <c r="D3324" s="654"/>
      <c r="E3324" s="256"/>
      <c r="F3324" s="236"/>
      <c r="G3324" s="236"/>
      <c r="H3324" s="231">
        <f t="shared" si="102"/>
        <v>0</v>
      </c>
      <c r="I3324" s="231">
        <f t="shared" si="103"/>
        <v>0</v>
      </c>
    </row>
    <row r="3325" spans="1:12" s="7" customFormat="1">
      <c r="A3325" s="1659"/>
      <c r="B3325" s="209" t="s">
        <v>985</v>
      </c>
      <c r="C3325" s="581">
        <f>SUM(C3291:C3324)</f>
        <v>286112</v>
      </c>
      <c r="D3325" s="581">
        <f>SUM(D3291:D3324)</f>
        <v>166000</v>
      </c>
      <c r="E3325" s="581">
        <f>SUM(E3291:E3324)</f>
        <v>120112</v>
      </c>
      <c r="F3325" s="236"/>
      <c r="G3325" s="236"/>
      <c r="H3325" s="1497">
        <f t="shared" si="102"/>
        <v>0</v>
      </c>
      <c r="I3325" s="1497">
        <f t="shared" si="103"/>
        <v>572224</v>
      </c>
      <c r="J3325" s="1435"/>
      <c r="K3325" s="1491"/>
      <c r="L3325" s="1491"/>
    </row>
    <row r="3326" spans="1:12" s="7" customFormat="1" ht="75">
      <c r="A3326" s="1568" t="s">
        <v>1114</v>
      </c>
      <c r="B3326" s="425" t="s">
        <v>1805</v>
      </c>
      <c r="C3326" s="817">
        <v>25000</v>
      </c>
      <c r="D3326" s="817">
        <v>25000</v>
      </c>
      <c r="E3326" s="184"/>
      <c r="F3326" s="236"/>
      <c r="G3326" s="236"/>
      <c r="H3326" s="1497">
        <f t="shared" si="102"/>
        <v>0</v>
      </c>
      <c r="I3326" s="1497">
        <f t="shared" si="103"/>
        <v>50000</v>
      </c>
      <c r="J3326" s="1435"/>
      <c r="K3326" s="1491"/>
      <c r="L3326" s="1491"/>
    </row>
    <row r="3327" spans="1:12" s="7" customFormat="1" ht="56.25">
      <c r="A3327" s="1569"/>
      <c r="B3327" s="425" t="s">
        <v>1806</v>
      </c>
      <c r="C3327" s="1235">
        <v>26000</v>
      </c>
      <c r="D3327" s="1236"/>
      <c r="E3327" s="1236">
        <v>26000</v>
      </c>
      <c r="F3327" s="236"/>
      <c r="G3327" s="236"/>
      <c r="H3327" s="1497">
        <f t="shared" si="102"/>
        <v>0</v>
      </c>
      <c r="I3327" s="1497">
        <f t="shared" si="103"/>
        <v>52000</v>
      </c>
      <c r="J3327" s="1435"/>
      <c r="K3327" s="1491"/>
      <c r="L3327" s="1491"/>
    </row>
    <row r="3328" spans="1:12" s="7" customFormat="1" ht="75">
      <c r="A3328" s="1569"/>
      <c r="B3328" s="107" t="s">
        <v>1807</v>
      </c>
      <c r="C3328" s="184">
        <v>3000</v>
      </c>
      <c r="D3328" s="184">
        <v>3000</v>
      </c>
      <c r="E3328" s="184"/>
      <c r="F3328" s="236"/>
      <c r="G3328" s="236"/>
      <c r="H3328" s="1497">
        <f t="shared" si="102"/>
        <v>0</v>
      </c>
      <c r="I3328" s="1497">
        <f t="shared" si="103"/>
        <v>6000</v>
      </c>
      <c r="J3328" s="1435"/>
      <c r="K3328" s="1491"/>
      <c r="L3328" s="1491"/>
    </row>
    <row r="3329" spans="1:12" s="7" customFormat="1" ht="37.5">
      <c r="A3329" s="1569"/>
      <c r="B3329" s="107" t="s">
        <v>1808</v>
      </c>
      <c r="C3329" s="817">
        <v>6520</v>
      </c>
      <c r="D3329" s="817">
        <v>6520</v>
      </c>
      <c r="E3329" s="184"/>
      <c r="F3329" s="236"/>
      <c r="G3329" s="236"/>
      <c r="H3329" s="1497">
        <f t="shared" si="102"/>
        <v>0</v>
      </c>
      <c r="I3329" s="1497">
        <f t="shared" si="103"/>
        <v>13040</v>
      </c>
      <c r="J3329" s="1435"/>
      <c r="K3329" s="1491"/>
      <c r="L3329" s="1491"/>
    </row>
    <row r="3330" spans="1:12" s="7" customFormat="1" hidden="1">
      <c r="A3330" s="1569"/>
      <c r="B3330" s="107"/>
      <c r="C3330" s="649"/>
      <c r="D3330" s="649"/>
      <c r="E3330" s="256"/>
      <c r="F3330" s="236"/>
      <c r="G3330" s="236"/>
      <c r="H3330" s="231">
        <f t="shared" si="102"/>
        <v>0</v>
      </c>
      <c r="I3330" s="231">
        <f t="shared" si="103"/>
        <v>0</v>
      </c>
    </row>
    <row r="3331" spans="1:12" s="7" customFormat="1" hidden="1">
      <c r="A3331" s="1569"/>
      <c r="B3331" s="821"/>
      <c r="C3331" s="850"/>
      <c r="D3331" s="850"/>
      <c r="E3331" s="844"/>
      <c r="F3331" s="236"/>
      <c r="G3331" s="236"/>
      <c r="H3331" s="231">
        <f t="shared" si="102"/>
        <v>0</v>
      </c>
      <c r="I3331" s="231">
        <f t="shared" si="103"/>
        <v>0</v>
      </c>
    </row>
    <row r="3332" spans="1:12" s="7" customFormat="1" hidden="1">
      <c r="A3332" s="1569"/>
      <c r="B3332" s="821"/>
      <c r="C3332" s="878"/>
      <c r="D3332" s="879"/>
      <c r="E3332" s="879"/>
      <c r="F3332" s="236"/>
      <c r="G3332" s="236"/>
      <c r="H3332" s="231">
        <f t="shared" si="102"/>
        <v>0</v>
      </c>
      <c r="I3332" s="231">
        <f t="shared" si="103"/>
        <v>0</v>
      </c>
    </row>
    <row r="3333" spans="1:12" s="7" customFormat="1" hidden="1">
      <c r="A3333" s="1569"/>
      <c r="B3333" s="390"/>
      <c r="C3333" s="651"/>
      <c r="D3333" s="692"/>
      <c r="E3333" s="692"/>
      <c r="F3333" s="236"/>
      <c r="G3333" s="236"/>
      <c r="H3333" s="231">
        <f t="shared" si="102"/>
        <v>0</v>
      </c>
      <c r="I3333" s="231">
        <f t="shared" si="103"/>
        <v>0</v>
      </c>
    </row>
    <row r="3334" spans="1:12" s="7" customFormat="1" hidden="1">
      <c r="A3334" s="1569"/>
      <c r="B3334" s="116"/>
      <c r="C3334" s="679"/>
      <c r="D3334" s="679"/>
      <c r="E3334" s="654"/>
      <c r="F3334" s="236"/>
      <c r="G3334" s="236"/>
      <c r="H3334" s="231">
        <f t="shared" si="102"/>
        <v>0</v>
      </c>
      <c r="I3334" s="231">
        <f t="shared" si="103"/>
        <v>0</v>
      </c>
    </row>
    <row r="3335" spans="1:12" s="7" customFormat="1" hidden="1">
      <c r="A3335" s="1569"/>
      <c r="B3335" s="107"/>
      <c r="C3335" s="654"/>
      <c r="D3335" s="654"/>
      <c r="E3335" s="654"/>
      <c r="F3335" s="236"/>
      <c r="G3335" s="236"/>
      <c r="H3335" s="231">
        <f t="shared" si="102"/>
        <v>0</v>
      </c>
      <c r="I3335" s="231">
        <f t="shared" si="103"/>
        <v>0</v>
      </c>
    </row>
    <row r="3336" spans="1:12" s="7" customFormat="1" hidden="1">
      <c r="A3336" s="1569"/>
      <c r="B3336" s="107"/>
      <c r="C3336" s="654"/>
      <c r="D3336" s="654"/>
      <c r="E3336" s="256"/>
      <c r="F3336" s="236"/>
      <c r="G3336" s="236"/>
      <c r="H3336" s="231">
        <f t="shared" si="102"/>
        <v>0</v>
      </c>
      <c r="I3336" s="231">
        <f t="shared" si="103"/>
        <v>0</v>
      </c>
    </row>
    <row r="3337" spans="1:12" s="7" customFormat="1" hidden="1">
      <c r="A3337" s="1569"/>
      <c r="B3337" s="107"/>
      <c r="C3337" s="654"/>
      <c r="D3337" s="654"/>
      <c r="E3337" s="256"/>
      <c r="F3337" s="236"/>
      <c r="G3337" s="236"/>
      <c r="H3337" s="231">
        <f t="shared" ref="H3337:H3400" si="104">E3337+D3337-C3337</f>
        <v>0</v>
      </c>
      <c r="I3337" s="231">
        <f t="shared" ref="I3337:I3400" si="105">SUM(C3337:E3337)</f>
        <v>0</v>
      </c>
    </row>
    <row r="3338" spans="1:12" s="7" customFormat="1" hidden="1">
      <c r="A3338" s="1569"/>
      <c r="B3338" s="107"/>
      <c r="C3338" s="654"/>
      <c r="D3338" s="654"/>
      <c r="E3338" s="256"/>
      <c r="F3338" s="236"/>
      <c r="G3338" s="236"/>
      <c r="H3338" s="231">
        <f t="shared" si="104"/>
        <v>0</v>
      </c>
      <c r="I3338" s="231">
        <f t="shared" si="105"/>
        <v>0</v>
      </c>
    </row>
    <row r="3339" spans="1:12" s="7" customFormat="1" hidden="1">
      <c r="A3339" s="1569"/>
      <c r="B3339" s="107"/>
      <c r="C3339" s="654"/>
      <c r="D3339" s="654"/>
      <c r="E3339" s="256"/>
      <c r="F3339" s="236"/>
      <c r="G3339" s="236"/>
      <c r="H3339" s="231">
        <f t="shared" si="104"/>
        <v>0</v>
      </c>
      <c r="I3339" s="231">
        <f t="shared" si="105"/>
        <v>0</v>
      </c>
    </row>
    <row r="3340" spans="1:12" s="7" customFormat="1" hidden="1">
      <c r="A3340" s="1569"/>
      <c r="B3340" s="116"/>
      <c r="C3340" s="679"/>
      <c r="D3340" s="679"/>
      <c r="E3340" s="256"/>
      <c r="F3340" s="236"/>
      <c r="G3340" s="236"/>
      <c r="H3340" s="231">
        <f t="shared" si="104"/>
        <v>0</v>
      </c>
      <c r="I3340" s="231">
        <f t="shared" si="105"/>
        <v>0</v>
      </c>
    </row>
    <row r="3341" spans="1:12" s="7" customFormat="1" hidden="1">
      <c r="A3341" s="1569"/>
      <c r="B3341" s="107"/>
      <c r="C3341" s="654"/>
      <c r="D3341" s="654"/>
      <c r="E3341" s="256"/>
      <c r="F3341" s="236"/>
      <c r="G3341" s="236"/>
      <c r="H3341" s="231">
        <f t="shared" si="104"/>
        <v>0</v>
      </c>
      <c r="I3341" s="231">
        <f t="shared" si="105"/>
        <v>0</v>
      </c>
    </row>
    <row r="3342" spans="1:12" s="7" customFormat="1" hidden="1">
      <c r="A3342" s="1569"/>
      <c r="B3342" s="107"/>
      <c r="C3342" s="654"/>
      <c r="D3342" s="654"/>
      <c r="E3342" s="256"/>
      <c r="F3342" s="236"/>
      <c r="G3342" s="236"/>
      <c r="H3342" s="231">
        <f t="shared" si="104"/>
        <v>0</v>
      </c>
      <c r="I3342" s="231">
        <f t="shared" si="105"/>
        <v>0</v>
      </c>
    </row>
    <row r="3343" spans="1:12" s="7" customFormat="1" hidden="1">
      <c r="A3343" s="1569"/>
      <c r="B3343" s="107"/>
      <c r="C3343" s="654"/>
      <c r="D3343" s="654"/>
      <c r="E3343" s="256"/>
      <c r="F3343" s="236"/>
      <c r="G3343" s="236"/>
      <c r="H3343" s="231">
        <f t="shared" si="104"/>
        <v>0</v>
      </c>
      <c r="I3343" s="231">
        <f t="shared" si="105"/>
        <v>0</v>
      </c>
    </row>
    <row r="3344" spans="1:12" s="7" customFormat="1" hidden="1">
      <c r="A3344" s="1569"/>
      <c r="B3344" s="107"/>
      <c r="C3344" s="654"/>
      <c r="D3344" s="654"/>
      <c r="E3344" s="256"/>
      <c r="F3344" s="236"/>
      <c r="G3344" s="236"/>
      <c r="H3344" s="231">
        <f t="shared" si="104"/>
        <v>0</v>
      </c>
      <c r="I3344" s="231">
        <f t="shared" si="105"/>
        <v>0</v>
      </c>
    </row>
    <row r="3345" spans="1:12" s="7" customFormat="1" hidden="1">
      <c r="A3345" s="1569"/>
      <c r="B3345" s="107"/>
      <c r="C3345" s="654"/>
      <c r="D3345" s="654"/>
      <c r="E3345" s="256"/>
      <c r="F3345" s="236"/>
      <c r="G3345" s="236"/>
      <c r="H3345" s="231">
        <f t="shared" si="104"/>
        <v>0</v>
      </c>
      <c r="I3345" s="231">
        <f t="shared" si="105"/>
        <v>0</v>
      </c>
    </row>
    <row r="3346" spans="1:12" s="7" customFormat="1" hidden="1">
      <c r="A3346" s="1569"/>
      <c r="B3346" s="107"/>
      <c r="C3346" s="654"/>
      <c r="D3346" s="654"/>
      <c r="E3346" s="256"/>
      <c r="F3346" s="236"/>
      <c r="G3346" s="236"/>
      <c r="H3346" s="231">
        <f t="shared" si="104"/>
        <v>0</v>
      </c>
      <c r="I3346" s="231">
        <f t="shared" si="105"/>
        <v>0</v>
      </c>
    </row>
    <row r="3347" spans="1:12" s="7" customFormat="1" hidden="1">
      <c r="A3347" s="1569"/>
      <c r="B3347" s="107"/>
      <c r="C3347" s="654"/>
      <c r="D3347" s="654"/>
      <c r="E3347" s="256"/>
      <c r="F3347" s="236"/>
      <c r="G3347" s="236"/>
      <c r="H3347" s="231">
        <f t="shared" si="104"/>
        <v>0</v>
      </c>
      <c r="I3347" s="231">
        <f t="shared" si="105"/>
        <v>0</v>
      </c>
    </row>
    <row r="3348" spans="1:12" s="7" customFormat="1" hidden="1">
      <c r="A3348" s="1569"/>
      <c r="B3348" s="107"/>
      <c r="C3348" s="654"/>
      <c r="D3348" s="654"/>
      <c r="E3348" s="256"/>
      <c r="F3348" s="236"/>
      <c r="G3348" s="236"/>
      <c r="H3348" s="231">
        <f t="shared" si="104"/>
        <v>0</v>
      </c>
      <c r="I3348" s="231">
        <f t="shared" si="105"/>
        <v>0</v>
      </c>
    </row>
    <row r="3349" spans="1:12" s="7" customFormat="1" hidden="1">
      <c r="A3349" s="1569"/>
      <c r="B3349" s="107"/>
      <c r="C3349" s="654"/>
      <c r="D3349" s="654"/>
      <c r="E3349" s="256"/>
      <c r="F3349" s="236"/>
      <c r="G3349" s="236"/>
      <c r="H3349" s="231">
        <f t="shared" si="104"/>
        <v>0</v>
      </c>
      <c r="I3349" s="231">
        <f t="shared" si="105"/>
        <v>0</v>
      </c>
    </row>
    <row r="3350" spans="1:12" s="7" customFormat="1" hidden="1">
      <c r="A3350" s="1569"/>
      <c r="B3350" s="107"/>
      <c r="C3350" s="654"/>
      <c r="D3350" s="654"/>
      <c r="E3350" s="256"/>
      <c r="F3350" s="236"/>
      <c r="G3350" s="236"/>
      <c r="H3350" s="231">
        <f t="shared" si="104"/>
        <v>0</v>
      </c>
      <c r="I3350" s="231">
        <f t="shared" si="105"/>
        <v>0</v>
      </c>
    </row>
    <row r="3351" spans="1:12" s="7" customFormat="1" hidden="1">
      <c r="A3351" s="1569"/>
      <c r="B3351" s="107"/>
      <c r="C3351" s="654"/>
      <c r="D3351" s="654"/>
      <c r="E3351" s="256"/>
      <c r="F3351" s="236"/>
      <c r="G3351" s="236"/>
      <c r="H3351" s="231">
        <f t="shared" si="104"/>
        <v>0</v>
      </c>
      <c r="I3351" s="231">
        <f t="shared" si="105"/>
        <v>0</v>
      </c>
    </row>
    <row r="3352" spans="1:12" s="7" customFormat="1" hidden="1">
      <c r="A3352" s="1569"/>
      <c r="B3352" s="107"/>
      <c r="C3352" s="654"/>
      <c r="D3352" s="654"/>
      <c r="E3352" s="256"/>
      <c r="F3352" s="236"/>
      <c r="G3352" s="236"/>
      <c r="H3352" s="231">
        <f t="shared" si="104"/>
        <v>0</v>
      </c>
      <c r="I3352" s="231">
        <f t="shared" si="105"/>
        <v>0</v>
      </c>
    </row>
    <row r="3353" spans="1:12" s="7" customFormat="1" hidden="1">
      <c r="A3353" s="1569"/>
      <c r="B3353" s="107"/>
      <c r="C3353" s="654"/>
      <c r="D3353" s="654"/>
      <c r="E3353" s="256"/>
      <c r="F3353" s="236"/>
      <c r="G3353" s="236"/>
      <c r="H3353" s="231">
        <f t="shared" si="104"/>
        <v>0</v>
      </c>
      <c r="I3353" s="231">
        <f t="shared" si="105"/>
        <v>0</v>
      </c>
    </row>
    <row r="3354" spans="1:12" s="7" customFormat="1" hidden="1">
      <c r="A3354" s="1569"/>
      <c r="B3354" s="107"/>
      <c r="C3354" s="654"/>
      <c r="D3354" s="654"/>
      <c r="E3354" s="256"/>
      <c r="F3354" s="236"/>
      <c r="G3354" s="236"/>
      <c r="H3354" s="231">
        <f t="shared" si="104"/>
        <v>0</v>
      </c>
      <c r="I3354" s="231">
        <f t="shared" si="105"/>
        <v>0</v>
      </c>
    </row>
    <row r="3355" spans="1:12" s="7" customFormat="1" hidden="1">
      <c r="A3355" s="1569"/>
      <c r="B3355" s="107"/>
      <c r="C3355" s="654"/>
      <c r="D3355" s="654"/>
      <c r="E3355" s="256"/>
      <c r="F3355" s="236"/>
      <c r="G3355" s="236"/>
      <c r="H3355" s="231">
        <f t="shared" si="104"/>
        <v>0</v>
      </c>
      <c r="I3355" s="231">
        <f t="shared" si="105"/>
        <v>0</v>
      </c>
    </row>
    <row r="3356" spans="1:12" s="7" customFormat="1" hidden="1">
      <c r="A3356" s="1569"/>
      <c r="B3356" s="107"/>
      <c r="C3356" s="654"/>
      <c r="D3356" s="654"/>
      <c r="E3356" s="256"/>
      <c r="F3356" s="236"/>
      <c r="G3356" s="236"/>
      <c r="H3356" s="231">
        <f t="shared" si="104"/>
        <v>0</v>
      </c>
      <c r="I3356" s="231">
        <f t="shared" si="105"/>
        <v>0</v>
      </c>
    </row>
    <row r="3357" spans="1:12" s="7" customFormat="1" hidden="1">
      <c r="A3357" s="1569"/>
      <c r="B3357" s="107"/>
      <c r="C3357" s="654"/>
      <c r="D3357" s="654"/>
      <c r="E3357" s="256"/>
      <c r="F3357" s="236"/>
      <c r="G3357" s="236"/>
      <c r="H3357" s="231">
        <f t="shared" si="104"/>
        <v>0</v>
      </c>
      <c r="I3357" s="231">
        <f t="shared" si="105"/>
        <v>0</v>
      </c>
    </row>
    <row r="3358" spans="1:12" s="7" customFormat="1" hidden="1">
      <c r="A3358" s="1569"/>
      <c r="B3358" s="107"/>
      <c r="C3358" s="654"/>
      <c r="D3358" s="654"/>
      <c r="E3358" s="256"/>
      <c r="F3358" s="236"/>
      <c r="G3358" s="236"/>
      <c r="H3358" s="231">
        <f t="shared" si="104"/>
        <v>0</v>
      </c>
      <c r="I3358" s="231">
        <f t="shared" si="105"/>
        <v>0</v>
      </c>
    </row>
    <row r="3359" spans="1:12" s="7" customFormat="1" hidden="1">
      <c r="A3359" s="1569"/>
      <c r="B3359" s="107"/>
      <c r="C3359" s="654"/>
      <c r="D3359" s="654"/>
      <c r="E3359" s="256"/>
      <c r="F3359" s="236"/>
      <c r="G3359" s="236"/>
      <c r="H3359" s="231">
        <f t="shared" si="104"/>
        <v>0</v>
      </c>
      <c r="I3359" s="231">
        <f t="shared" si="105"/>
        <v>0</v>
      </c>
    </row>
    <row r="3360" spans="1:12" s="7" customFormat="1">
      <c r="A3360" s="1659"/>
      <c r="B3360" s="209" t="s">
        <v>985</v>
      </c>
      <c r="C3360" s="581">
        <f>SUM(C3326:C3359)</f>
        <v>60520</v>
      </c>
      <c r="D3360" s="581">
        <f>SUM(D3326:D3359)</f>
        <v>34520</v>
      </c>
      <c r="E3360" s="581">
        <f>SUM(E3326:E3359)</f>
        <v>26000</v>
      </c>
      <c r="F3360" s="236"/>
      <c r="G3360" s="236"/>
      <c r="H3360" s="1497">
        <f t="shared" si="104"/>
        <v>0</v>
      </c>
      <c r="I3360" s="1497">
        <f t="shared" si="105"/>
        <v>121040</v>
      </c>
      <c r="J3360" s="1435"/>
      <c r="K3360" s="1491"/>
      <c r="L3360" s="1491"/>
    </row>
    <row r="3361" spans="1:12" s="7" customFormat="1" ht="37.5">
      <c r="A3361" s="1568" t="s">
        <v>1115</v>
      </c>
      <c r="B3361" s="1215" t="s">
        <v>1424</v>
      </c>
      <c r="C3361" s="1214">
        <v>5000</v>
      </c>
      <c r="D3361" s="256">
        <v>5000</v>
      </c>
      <c r="E3361" s="256"/>
      <c r="F3361" s="237"/>
      <c r="G3361" s="237"/>
      <c r="H3361" s="1497">
        <f t="shared" si="104"/>
        <v>0</v>
      </c>
      <c r="I3361" s="1497">
        <f t="shared" si="105"/>
        <v>10000</v>
      </c>
      <c r="J3361" s="1435"/>
      <c r="K3361" s="1491"/>
      <c r="L3361" s="1491"/>
    </row>
    <row r="3362" spans="1:12" s="7" customFormat="1" ht="56.25">
      <c r="A3362" s="1569"/>
      <c r="B3362" s="1215" t="s">
        <v>1425</v>
      </c>
      <c r="C3362" s="1214">
        <v>42700</v>
      </c>
      <c r="D3362" s="256">
        <v>42700</v>
      </c>
      <c r="E3362" s="256"/>
      <c r="F3362" s="236"/>
      <c r="G3362" s="236"/>
      <c r="H3362" s="1497">
        <f t="shared" si="104"/>
        <v>0</v>
      </c>
      <c r="I3362" s="1497">
        <f t="shared" si="105"/>
        <v>85400</v>
      </c>
      <c r="J3362" s="1435"/>
      <c r="K3362" s="1491"/>
      <c r="L3362" s="1491"/>
    </row>
    <row r="3363" spans="1:12" s="7" customFormat="1" hidden="1">
      <c r="A3363" s="1569"/>
      <c r="B3363" s="107"/>
      <c r="C3363" s="589"/>
      <c r="D3363" s="589"/>
      <c r="E3363" s="510"/>
      <c r="F3363" s="236"/>
      <c r="G3363" s="236"/>
      <c r="H3363" s="231">
        <f t="shared" si="104"/>
        <v>0</v>
      </c>
      <c r="I3363" s="231">
        <f t="shared" si="105"/>
        <v>0</v>
      </c>
    </row>
    <row r="3364" spans="1:12" s="7" customFormat="1" hidden="1">
      <c r="A3364" s="1569"/>
      <c r="B3364" s="107"/>
      <c r="C3364" s="589"/>
      <c r="D3364" s="589"/>
      <c r="E3364" s="510"/>
      <c r="F3364" s="236"/>
      <c r="G3364" s="236"/>
      <c r="H3364" s="231">
        <f t="shared" si="104"/>
        <v>0</v>
      </c>
      <c r="I3364" s="231">
        <f t="shared" si="105"/>
        <v>0</v>
      </c>
    </row>
    <row r="3365" spans="1:12" s="7" customFormat="1" hidden="1">
      <c r="A3365" s="1569"/>
      <c r="B3365" s="107"/>
      <c r="C3365" s="589"/>
      <c r="D3365" s="589"/>
      <c r="E3365" s="510"/>
      <c r="F3365" s="236"/>
      <c r="G3365" s="236"/>
      <c r="H3365" s="231">
        <f t="shared" si="104"/>
        <v>0</v>
      </c>
      <c r="I3365" s="231">
        <f t="shared" si="105"/>
        <v>0</v>
      </c>
    </row>
    <row r="3366" spans="1:12" s="7" customFormat="1" hidden="1">
      <c r="A3366" s="1569"/>
      <c r="B3366" s="107"/>
      <c r="C3366" s="589"/>
      <c r="D3366" s="589"/>
      <c r="E3366" s="510"/>
      <c r="F3366" s="236"/>
      <c r="G3366" s="236"/>
      <c r="H3366" s="231">
        <f t="shared" si="104"/>
        <v>0</v>
      </c>
      <c r="I3366" s="231">
        <f t="shared" si="105"/>
        <v>0</v>
      </c>
    </row>
    <row r="3367" spans="1:12" s="7" customFormat="1" hidden="1">
      <c r="A3367" s="1569"/>
      <c r="B3367" s="107"/>
      <c r="C3367" s="589"/>
      <c r="D3367" s="589"/>
      <c r="E3367" s="510"/>
      <c r="F3367" s="236"/>
      <c r="G3367" s="236"/>
      <c r="H3367" s="231">
        <f t="shared" si="104"/>
        <v>0</v>
      </c>
      <c r="I3367" s="231">
        <f t="shared" si="105"/>
        <v>0</v>
      </c>
    </row>
    <row r="3368" spans="1:12" s="7" customFormat="1" hidden="1">
      <c r="A3368" s="1569"/>
      <c r="B3368" s="107"/>
      <c r="C3368" s="589"/>
      <c r="D3368" s="589"/>
      <c r="E3368" s="510"/>
      <c r="F3368" s="236"/>
      <c r="G3368" s="236"/>
      <c r="H3368" s="231">
        <f t="shared" si="104"/>
        <v>0</v>
      </c>
      <c r="I3368" s="231">
        <f t="shared" si="105"/>
        <v>0</v>
      </c>
    </row>
    <row r="3369" spans="1:12" s="7" customFormat="1" hidden="1">
      <c r="A3369" s="1569"/>
      <c r="B3369" s="107"/>
      <c r="C3369" s="589"/>
      <c r="D3369" s="589"/>
      <c r="E3369" s="510"/>
      <c r="F3369" s="236"/>
      <c r="G3369" s="236"/>
      <c r="H3369" s="231">
        <f t="shared" si="104"/>
        <v>0</v>
      </c>
      <c r="I3369" s="231">
        <f t="shared" si="105"/>
        <v>0</v>
      </c>
    </row>
    <row r="3370" spans="1:12" s="7" customFormat="1" hidden="1">
      <c r="A3370" s="1569"/>
      <c r="B3370" s="107"/>
      <c r="C3370" s="256"/>
      <c r="D3370" s="649"/>
      <c r="E3370" s="256"/>
      <c r="F3370" s="236"/>
      <c r="G3370" s="236"/>
      <c r="H3370" s="231">
        <f t="shared" si="104"/>
        <v>0</v>
      </c>
      <c r="I3370" s="231">
        <f t="shared" si="105"/>
        <v>0</v>
      </c>
    </row>
    <row r="3371" spans="1:12" s="7" customFormat="1" hidden="1">
      <c r="A3371" s="1569"/>
      <c r="B3371" s="773"/>
      <c r="C3371" s="774"/>
      <c r="D3371" s="774"/>
      <c r="E3371" s="774"/>
      <c r="F3371" s="236"/>
      <c r="G3371" s="236"/>
      <c r="H3371" s="231">
        <f t="shared" si="104"/>
        <v>0</v>
      </c>
      <c r="I3371" s="231">
        <f t="shared" si="105"/>
        <v>0</v>
      </c>
    </row>
    <row r="3372" spans="1:12" s="7" customFormat="1" hidden="1">
      <c r="A3372" s="1569"/>
      <c r="B3372" s="773"/>
      <c r="C3372" s="774"/>
      <c r="D3372" s="774"/>
      <c r="E3372" s="774"/>
      <c r="F3372" s="236"/>
      <c r="G3372" s="236"/>
      <c r="H3372" s="231">
        <f t="shared" si="104"/>
        <v>0</v>
      </c>
      <c r="I3372" s="231">
        <f t="shared" si="105"/>
        <v>0</v>
      </c>
    </row>
    <row r="3373" spans="1:12" s="7" customFormat="1" hidden="1">
      <c r="A3373" s="1569"/>
      <c r="B3373" s="773"/>
      <c r="C3373" s="771"/>
      <c r="D3373" s="771"/>
      <c r="E3373" s="772"/>
      <c r="F3373" s="236"/>
      <c r="G3373" s="236"/>
      <c r="H3373" s="231">
        <f t="shared" si="104"/>
        <v>0</v>
      </c>
      <c r="I3373" s="231">
        <f t="shared" si="105"/>
        <v>0</v>
      </c>
    </row>
    <row r="3374" spans="1:12" s="7" customFormat="1" hidden="1">
      <c r="A3374" s="1569"/>
      <c r="B3374" s="770"/>
      <c r="C3374" s="771"/>
      <c r="D3374" s="771"/>
      <c r="E3374" s="772"/>
      <c r="F3374" s="236"/>
      <c r="G3374" s="236"/>
      <c r="H3374" s="231">
        <f t="shared" si="104"/>
        <v>0</v>
      </c>
      <c r="I3374" s="231">
        <f t="shared" si="105"/>
        <v>0</v>
      </c>
    </row>
    <row r="3375" spans="1:12" s="7" customFormat="1" hidden="1">
      <c r="A3375" s="1569"/>
      <c r="B3375" s="371"/>
      <c r="C3375" s="850"/>
      <c r="D3375" s="850"/>
      <c r="E3375" s="844"/>
      <c r="F3375" s="236"/>
      <c r="G3375" s="236"/>
      <c r="H3375" s="231">
        <f t="shared" si="104"/>
        <v>0</v>
      </c>
      <c r="I3375" s="231">
        <f t="shared" si="105"/>
        <v>0</v>
      </c>
    </row>
    <row r="3376" spans="1:12" s="7" customFormat="1" hidden="1">
      <c r="A3376" s="1569"/>
      <c r="B3376" s="371"/>
      <c r="C3376" s="850"/>
      <c r="D3376" s="850"/>
      <c r="E3376" s="844"/>
      <c r="F3376" s="236"/>
      <c r="G3376" s="236"/>
      <c r="H3376" s="231">
        <f t="shared" si="104"/>
        <v>0</v>
      </c>
      <c r="I3376" s="231">
        <f t="shared" si="105"/>
        <v>0</v>
      </c>
    </row>
    <row r="3377" spans="1:9" s="7" customFormat="1" hidden="1">
      <c r="A3377" s="1569"/>
      <c r="B3377" s="371"/>
      <c r="C3377" s="850"/>
      <c r="D3377" s="850"/>
      <c r="E3377" s="844"/>
      <c r="F3377" s="236"/>
      <c r="G3377" s="236"/>
      <c r="H3377" s="231">
        <f t="shared" si="104"/>
        <v>0</v>
      </c>
      <c r="I3377" s="231">
        <f t="shared" si="105"/>
        <v>0</v>
      </c>
    </row>
    <row r="3378" spans="1:9" s="7" customFormat="1" hidden="1">
      <c r="A3378" s="1569"/>
      <c r="B3378" s="371"/>
      <c r="C3378" s="850"/>
      <c r="D3378" s="850"/>
      <c r="E3378" s="844"/>
      <c r="F3378" s="236"/>
      <c r="G3378" s="236"/>
      <c r="H3378" s="231">
        <f t="shared" si="104"/>
        <v>0</v>
      </c>
      <c r="I3378" s="231">
        <f t="shared" si="105"/>
        <v>0</v>
      </c>
    </row>
    <row r="3379" spans="1:9" s="7" customFormat="1" hidden="1">
      <c r="A3379" s="1569"/>
      <c r="B3379" s="371"/>
      <c r="C3379" s="850"/>
      <c r="D3379" s="850"/>
      <c r="E3379" s="844"/>
      <c r="F3379" s="236"/>
      <c r="G3379" s="236"/>
      <c r="H3379" s="231">
        <f t="shared" si="104"/>
        <v>0</v>
      </c>
      <c r="I3379" s="231">
        <f t="shared" si="105"/>
        <v>0</v>
      </c>
    </row>
    <row r="3380" spans="1:9" s="7" customFormat="1" hidden="1">
      <c r="A3380" s="1569"/>
      <c r="B3380" s="371"/>
      <c r="C3380" s="850"/>
      <c r="D3380" s="850"/>
      <c r="E3380" s="844"/>
      <c r="F3380" s="236"/>
      <c r="G3380" s="236"/>
      <c r="H3380" s="231">
        <f t="shared" si="104"/>
        <v>0</v>
      </c>
      <c r="I3380" s="231">
        <f t="shared" si="105"/>
        <v>0</v>
      </c>
    </row>
    <row r="3381" spans="1:9" s="7" customFormat="1" hidden="1">
      <c r="A3381" s="1569"/>
      <c r="B3381" s="371"/>
      <c r="C3381" s="850"/>
      <c r="D3381" s="850"/>
      <c r="E3381" s="844"/>
      <c r="F3381" s="236"/>
      <c r="G3381" s="236"/>
      <c r="H3381" s="231">
        <f t="shared" si="104"/>
        <v>0</v>
      </c>
      <c r="I3381" s="231">
        <f t="shared" si="105"/>
        <v>0</v>
      </c>
    </row>
    <row r="3382" spans="1:9" s="7" customFormat="1" hidden="1">
      <c r="A3382" s="1569"/>
      <c r="B3382" s="857"/>
      <c r="C3382" s="833"/>
      <c r="D3382" s="863"/>
      <c r="E3382" s="863"/>
      <c r="F3382" s="236"/>
      <c r="G3382" s="236"/>
      <c r="H3382" s="231">
        <f t="shared" si="104"/>
        <v>0</v>
      </c>
      <c r="I3382" s="231">
        <f t="shared" si="105"/>
        <v>0</v>
      </c>
    </row>
    <row r="3383" spans="1:9" s="7" customFormat="1" hidden="1">
      <c r="A3383" s="1569"/>
      <c r="B3383" s="857"/>
      <c r="C3383" s="833"/>
      <c r="D3383" s="863"/>
      <c r="E3383" s="880"/>
      <c r="F3383" s="236"/>
      <c r="G3383" s="236"/>
      <c r="H3383" s="231">
        <f t="shared" si="104"/>
        <v>0</v>
      </c>
      <c r="I3383" s="231">
        <f t="shared" si="105"/>
        <v>0</v>
      </c>
    </row>
    <row r="3384" spans="1:9" s="7" customFormat="1" hidden="1">
      <c r="A3384" s="1569"/>
      <c r="B3384" s="107"/>
      <c r="C3384" s="654"/>
      <c r="D3384" s="654"/>
      <c r="E3384" s="256"/>
      <c r="F3384" s="236"/>
      <c r="G3384" s="236"/>
      <c r="H3384" s="231">
        <f t="shared" si="104"/>
        <v>0</v>
      </c>
      <c r="I3384" s="231">
        <f t="shared" si="105"/>
        <v>0</v>
      </c>
    </row>
    <row r="3385" spans="1:9" s="7" customFormat="1" hidden="1">
      <c r="A3385" s="1569"/>
      <c r="B3385" s="107"/>
      <c r="C3385" s="654"/>
      <c r="D3385" s="654"/>
      <c r="E3385" s="256"/>
      <c r="F3385" s="236"/>
      <c r="G3385" s="236"/>
      <c r="H3385" s="231">
        <f t="shared" si="104"/>
        <v>0</v>
      </c>
      <c r="I3385" s="231">
        <f t="shared" si="105"/>
        <v>0</v>
      </c>
    </row>
    <row r="3386" spans="1:9" s="7" customFormat="1" hidden="1">
      <c r="A3386" s="1569"/>
      <c r="B3386" s="107"/>
      <c r="C3386" s="654"/>
      <c r="D3386" s="654"/>
      <c r="E3386" s="256"/>
      <c r="F3386" s="236"/>
      <c r="G3386" s="236"/>
      <c r="H3386" s="231">
        <f t="shared" si="104"/>
        <v>0</v>
      </c>
      <c r="I3386" s="231">
        <f t="shared" si="105"/>
        <v>0</v>
      </c>
    </row>
    <row r="3387" spans="1:9" s="7" customFormat="1" hidden="1">
      <c r="A3387" s="1569"/>
      <c r="B3387" s="107"/>
      <c r="C3387" s="654"/>
      <c r="D3387" s="654"/>
      <c r="E3387" s="256"/>
      <c r="F3387" s="236"/>
      <c r="G3387" s="236"/>
      <c r="H3387" s="231">
        <f t="shared" si="104"/>
        <v>0</v>
      </c>
      <c r="I3387" s="231">
        <f t="shared" si="105"/>
        <v>0</v>
      </c>
    </row>
    <row r="3388" spans="1:9" s="7" customFormat="1" hidden="1">
      <c r="A3388" s="1569"/>
      <c r="B3388" s="107"/>
      <c r="C3388" s="654"/>
      <c r="D3388" s="654"/>
      <c r="E3388" s="256"/>
      <c r="F3388" s="236"/>
      <c r="G3388" s="236"/>
      <c r="H3388" s="231">
        <f t="shared" si="104"/>
        <v>0</v>
      </c>
      <c r="I3388" s="231">
        <f t="shared" si="105"/>
        <v>0</v>
      </c>
    </row>
    <row r="3389" spans="1:9" s="7" customFormat="1" hidden="1">
      <c r="A3389" s="1569"/>
      <c r="B3389" s="107"/>
      <c r="C3389" s="654"/>
      <c r="D3389" s="654"/>
      <c r="E3389" s="256"/>
      <c r="F3389" s="236"/>
      <c r="G3389" s="236"/>
      <c r="H3389" s="231">
        <f t="shared" si="104"/>
        <v>0</v>
      </c>
      <c r="I3389" s="231">
        <f t="shared" si="105"/>
        <v>0</v>
      </c>
    </row>
    <row r="3390" spans="1:9" s="7" customFormat="1" hidden="1">
      <c r="A3390" s="1569"/>
      <c r="B3390" s="107"/>
      <c r="C3390" s="654"/>
      <c r="D3390" s="654"/>
      <c r="E3390" s="256"/>
      <c r="F3390" s="236"/>
      <c r="G3390" s="236"/>
      <c r="H3390" s="231">
        <f t="shared" si="104"/>
        <v>0</v>
      </c>
      <c r="I3390" s="231">
        <f t="shared" si="105"/>
        <v>0</v>
      </c>
    </row>
    <row r="3391" spans="1:9" s="7" customFormat="1" hidden="1">
      <c r="A3391" s="1569"/>
      <c r="B3391" s="107"/>
      <c r="C3391" s="654"/>
      <c r="D3391" s="654"/>
      <c r="E3391" s="256"/>
      <c r="F3391" s="236"/>
      <c r="G3391" s="236"/>
      <c r="H3391" s="231">
        <f t="shared" si="104"/>
        <v>0</v>
      </c>
      <c r="I3391" s="231">
        <f t="shared" si="105"/>
        <v>0</v>
      </c>
    </row>
    <row r="3392" spans="1:9" s="7" customFormat="1" hidden="1">
      <c r="A3392" s="1569"/>
      <c r="B3392" s="107"/>
      <c r="C3392" s="654"/>
      <c r="D3392" s="654"/>
      <c r="E3392" s="256"/>
      <c r="F3392" s="236"/>
      <c r="G3392" s="236"/>
      <c r="H3392" s="231">
        <f t="shared" si="104"/>
        <v>0</v>
      </c>
      <c r="I3392" s="231">
        <f t="shared" si="105"/>
        <v>0</v>
      </c>
    </row>
    <row r="3393" spans="1:12" s="7" customFormat="1" hidden="1">
      <c r="A3393" s="1569"/>
      <c r="B3393" s="107"/>
      <c r="C3393" s="654"/>
      <c r="D3393" s="654"/>
      <c r="E3393" s="256"/>
      <c r="F3393" s="236"/>
      <c r="G3393" s="236"/>
      <c r="H3393" s="231">
        <f t="shared" si="104"/>
        <v>0</v>
      </c>
      <c r="I3393" s="231">
        <f t="shared" si="105"/>
        <v>0</v>
      </c>
    </row>
    <row r="3394" spans="1:12" s="7" customFormat="1" hidden="1">
      <c r="A3394" s="1569"/>
      <c r="B3394" s="107"/>
      <c r="C3394" s="654"/>
      <c r="D3394" s="654"/>
      <c r="E3394" s="256"/>
      <c r="F3394" s="236"/>
      <c r="G3394" s="236"/>
      <c r="H3394" s="231">
        <f t="shared" si="104"/>
        <v>0</v>
      </c>
      <c r="I3394" s="231">
        <f t="shared" si="105"/>
        <v>0</v>
      </c>
    </row>
    <row r="3395" spans="1:12" s="7" customFormat="1">
      <c r="A3395" s="1659"/>
      <c r="B3395" s="209" t="s">
        <v>985</v>
      </c>
      <c r="C3395" s="581">
        <f>SUM(C3361:C3394)</f>
        <v>47700</v>
      </c>
      <c r="D3395" s="581">
        <f>SUM(D3361:D3394)</f>
        <v>47700</v>
      </c>
      <c r="E3395" s="581">
        <f>SUM(E3361:E3394)</f>
        <v>0</v>
      </c>
      <c r="F3395" s="236"/>
      <c r="G3395" s="236"/>
      <c r="H3395" s="1497">
        <f t="shared" si="104"/>
        <v>0</v>
      </c>
      <c r="I3395" s="1497">
        <f t="shared" si="105"/>
        <v>95400</v>
      </c>
      <c r="J3395" s="1435"/>
      <c r="K3395" s="1491"/>
      <c r="L3395" s="1491"/>
    </row>
    <row r="3396" spans="1:12" s="7" customFormat="1" hidden="1">
      <c r="A3396" s="1568" t="s">
        <v>104</v>
      </c>
      <c r="B3396" s="107"/>
      <c r="C3396" s="644"/>
      <c r="D3396" s="589"/>
      <c r="E3396" s="644"/>
      <c r="F3396" s="236"/>
      <c r="G3396" s="236"/>
      <c r="H3396" s="231">
        <f t="shared" si="104"/>
        <v>0</v>
      </c>
      <c r="I3396" s="231">
        <f t="shared" si="105"/>
        <v>0</v>
      </c>
    </row>
    <row r="3397" spans="1:12" s="7" customFormat="1" hidden="1">
      <c r="A3397" s="1569"/>
      <c r="B3397" s="562"/>
      <c r="C3397" s="648"/>
      <c r="D3397" s="648"/>
      <c r="E3397" s="648"/>
      <c r="F3397" s="236"/>
      <c r="G3397" s="236"/>
      <c r="H3397" s="231">
        <f t="shared" si="104"/>
        <v>0</v>
      </c>
      <c r="I3397" s="231">
        <f t="shared" si="105"/>
        <v>0</v>
      </c>
    </row>
    <row r="3398" spans="1:12" s="7" customFormat="1" hidden="1">
      <c r="A3398" s="1569"/>
      <c r="B3398" s="107"/>
      <c r="C3398" s="589"/>
      <c r="D3398" s="589"/>
      <c r="E3398" s="510"/>
      <c r="F3398" s="236"/>
      <c r="G3398" s="236"/>
      <c r="H3398" s="231">
        <f t="shared" si="104"/>
        <v>0</v>
      </c>
      <c r="I3398" s="231">
        <f t="shared" si="105"/>
        <v>0</v>
      </c>
    </row>
    <row r="3399" spans="1:12" s="7" customFormat="1" hidden="1">
      <c r="A3399" s="1569"/>
      <c r="B3399" s="107"/>
      <c r="C3399" s="589"/>
      <c r="D3399" s="589"/>
      <c r="E3399" s="510"/>
      <c r="F3399" s="236"/>
      <c r="G3399" s="236"/>
      <c r="H3399" s="231">
        <f t="shared" si="104"/>
        <v>0</v>
      </c>
      <c r="I3399" s="231">
        <f t="shared" si="105"/>
        <v>0</v>
      </c>
    </row>
    <row r="3400" spans="1:12" s="7" customFormat="1" hidden="1">
      <c r="A3400" s="1569"/>
      <c r="B3400" s="107"/>
      <c r="C3400" s="589"/>
      <c r="D3400" s="589"/>
      <c r="E3400" s="510"/>
      <c r="F3400" s="236"/>
      <c r="G3400" s="236"/>
      <c r="H3400" s="231">
        <f t="shared" si="104"/>
        <v>0</v>
      </c>
      <c r="I3400" s="231">
        <f t="shared" si="105"/>
        <v>0</v>
      </c>
    </row>
    <row r="3401" spans="1:12" s="7" customFormat="1" hidden="1">
      <c r="A3401" s="1569"/>
      <c r="B3401" s="107"/>
      <c r="C3401" s="256"/>
      <c r="D3401" s="256"/>
      <c r="E3401" s="256"/>
      <c r="F3401" s="236"/>
      <c r="G3401" s="236"/>
      <c r="H3401" s="231">
        <f t="shared" ref="H3401:H3464" si="106">E3401+D3401-C3401</f>
        <v>0</v>
      </c>
      <c r="I3401" s="231">
        <f t="shared" ref="I3401:I3464" si="107">SUM(C3401:E3401)</f>
        <v>0</v>
      </c>
    </row>
    <row r="3402" spans="1:12" s="7" customFormat="1" hidden="1">
      <c r="A3402" s="1569"/>
      <c r="B3402" s="385"/>
      <c r="C3402" s="638"/>
      <c r="D3402" s="638"/>
      <c r="E3402" s="639"/>
      <c r="F3402" s="236"/>
      <c r="G3402" s="236"/>
      <c r="H3402" s="231">
        <f t="shared" si="106"/>
        <v>0</v>
      </c>
      <c r="I3402" s="231">
        <f t="shared" si="107"/>
        <v>0</v>
      </c>
    </row>
    <row r="3403" spans="1:12" s="7" customFormat="1" hidden="1">
      <c r="A3403" s="1569"/>
      <c r="B3403" s="399"/>
      <c r="C3403" s="663"/>
      <c r="D3403" s="663"/>
      <c r="E3403" s="663"/>
      <c r="F3403" s="236"/>
      <c r="G3403" s="236"/>
      <c r="H3403" s="231">
        <f t="shared" si="106"/>
        <v>0</v>
      </c>
      <c r="I3403" s="231">
        <f t="shared" si="107"/>
        <v>0</v>
      </c>
    </row>
    <row r="3404" spans="1:12" s="7" customFormat="1" hidden="1">
      <c r="A3404" s="1569"/>
      <c r="B3404" s="399"/>
      <c r="C3404" s="663"/>
      <c r="D3404" s="663"/>
      <c r="E3404" s="663"/>
      <c r="F3404" s="236"/>
      <c r="G3404" s="236"/>
      <c r="H3404" s="231">
        <f t="shared" si="106"/>
        <v>0</v>
      </c>
      <c r="I3404" s="231">
        <f t="shared" si="107"/>
        <v>0</v>
      </c>
    </row>
    <row r="3405" spans="1:12" s="7" customFormat="1" hidden="1">
      <c r="A3405" s="1569"/>
      <c r="B3405" s="107"/>
      <c r="C3405" s="654"/>
      <c r="D3405" s="654"/>
      <c r="E3405" s="654"/>
      <c r="F3405" s="236"/>
      <c r="G3405" s="236"/>
      <c r="H3405" s="231">
        <f t="shared" si="106"/>
        <v>0</v>
      </c>
      <c r="I3405" s="231">
        <f t="shared" si="107"/>
        <v>0</v>
      </c>
    </row>
    <row r="3406" spans="1:12" s="7" customFormat="1" hidden="1">
      <c r="A3406" s="1569"/>
      <c r="B3406" s="107"/>
      <c r="C3406" s="654"/>
      <c r="D3406" s="654"/>
      <c r="E3406" s="256"/>
      <c r="F3406" s="236"/>
      <c r="G3406" s="236"/>
      <c r="H3406" s="231">
        <f t="shared" si="106"/>
        <v>0</v>
      </c>
      <c r="I3406" s="231">
        <f t="shared" si="107"/>
        <v>0</v>
      </c>
    </row>
    <row r="3407" spans="1:12" s="7" customFormat="1" hidden="1">
      <c r="A3407" s="1569"/>
      <c r="B3407" s="107"/>
      <c r="C3407" s="654"/>
      <c r="D3407" s="654"/>
      <c r="E3407" s="256"/>
      <c r="F3407" s="236"/>
      <c r="G3407" s="236"/>
      <c r="H3407" s="231">
        <f t="shared" si="106"/>
        <v>0</v>
      </c>
      <c r="I3407" s="231">
        <f t="shared" si="107"/>
        <v>0</v>
      </c>
    </row>
    <row r="3408" spans="1:12" s="7" customFormat="1" hidden="1">
      <c r="A3408" s="1569"/>
      <c r="B3408" s="107"/>
      <c r="C3408" s="654"/>
      <c r="D3408" s="654"/>
      <c r="E3408" s="256"/>
      <c r="F3408" s="236"/>
      <c r="G3408" s="236"/>
      <c r="H3408" s="231">
        <f t="shared" si="106"/>
        <v>0</v>
      </c>
      <c r="I3408" s="231">
        <f t="shared" si="107"/>
        <v>0</v>
      </c>
    </row>
    <row r="3409" spans="1:9" s="7" customFormat="1" hidden="1">
      <c r="A3409" s="1569"/>
      <c r="B3409" s="107"/>
      <c r="C3409" s="654"/>
      <c r="D3409" s="654"/>
      <c r="E3409" s="256"/>
      <c r="F3409" s="236"/>
      <c r="G3409" s="236"/>
      <c r="H3409" s="231">
        <f t="shared" si="106"/>
        <v>0</v>
      </c>
      <c r="I3409" s="231">
        <f t="shared" si="107"/>
        <v>0</v>
      </c>
    </row>
    <row r="3410" spans="1:9" s="7" customFormat="1" hidden="1">
      <c r="A3410" s="1569"/>
      <c r="B3410" s="116"/>
      <c r="C3410" s="679"/>
      <c r="D3410" s="679"/>
      <c r="E3410" s="256"/>
      <c r="F3410" s="236"/>
      <c r="G3410" s="236"/>
      <c r="H3410" s="231">
        <f t="shared" si="106"/>
        <v>0</v>
      </c>
      <c r="I3410" s="231">
        <f t="shared" si="107"/>
        <v>0</v>
      </c>
    </row>
    <row r="3411" spans="1:9" s="7" customFormat="1" hidden="1">
      <c r="A3411" s="1569"/>
      <c r="B3411" s="107"/>
      <c r="C3411" s="654"/>
      <c r="D3411" s="654"/>
      <c r="E3411" s="256"/>
      <c r="F3411" s="236"/>
      <c r="G3411" s="236"/>
      <c r="H3411" s="231">
        <f t="shared" si="106"/>
        <v>0</v>
      </c>
      <c r="I3411" s="231">
        <f t="shared" si="107"/>
        <v>0</v>
      </c>
    </row>
    <row r="3412" spans="1:9" s="7" customFormat="1" hidden="1">
      <c r="A3412" s="1569"/>
      <c r="B3412" s="107"/>
      <c r="C3412" s="654"/>
      <c r="D3412" s="654"/>
      <c r="E3412" s="256"/>
      <c r="F3412" s="236"/>
      <c r="G3412" s="236"/>
      <c r="H3412" s="231">
        <f t="shared" si="106"/>
        <v>0</v>
      </c>
      <c r="I3412" s="231">
        <f t="shared" si="107"/>
        <v>0</v>
      </c>
    </row>
    <row r="3413" spans="1:9" s="7" customFormat="1" hidden="1">
      <c r="A3413" s="1569"/>
      <c r="B3413" s="107"/>
      <c r="C3413" s="654"/>
      <c r="D3413" s="654"/>
      <c r="E3413" s="256"/>
      <c r="F3413" s="236"/>
      <c r="G3413" s="236"/>
      <c r="H3413" s="231">
        <f t="shared" si="106"/>
        <v>0</v>
      </c>
      <c r="I3413" s="231">
        <f t="shared" si="107"/>
        <v>0</v>
      </c>
    </row>
    <row r="3414" spans="1:9" s="7" customFormat="1" hidden="1">
      <c r="A3414" s="1569"/>
      <c r="B3414" s="107"/>
      <c r="C3414" s="654"/>
      <c r="D3414" s="654"/>
      <c r="E3414" s="256"/>
      <c r="F3414" s="236"/>
      <c r="G3414" s="236"/>
      <c r="H3414" s="231">
        <f t="shared" si="106"/>
        <v>0</v>
      </c>
      <c r="I3414" s="231">
        <f t="shared" si="107"/>
        <v>0</v>
      </c>
    </row>
    <row r="3415" spans="1:9" s="7" customFormat="1" hidden="1">
      <c r="A3415" s="1569"/>
      <c r="B3415" s="107"/>
      <c r="C3415" s="654"/>
      <c r="D3415" s="654"/>
      <c r="E3415" s="256"/>
      <c r="F3415" s="236"/>
      <c r="G3415" s="236"/>
      <c r="H3415" s="231">
        <f t="shared" si="106"/>
        <v>0</v>
      </c>
      <c r="I3415" s="231">
        <f t="shared" si="107"/>
        <v>0</v>
      </c>
    </row>
    <row r="3416" spans="1:9" s="7" customFormat="1" hidden="1">
      <c r="A3416" s="1569"/>
      <c r="B3416" s="107"/>
      <c r="C3416" s="654"/>
      <c r="D3416" s="654"/>
      <c r="E3416" s="256"/>
      <c r="F3416" s="236"/>
      <c r="G3416" s="236"/>
      <c r="H3416" s="231">
        <f t="shared" si="106"/>
        <v>0</v>
      </c>
      <c r="I3416" s="231">
        <f t="shared" si="107"/>
        <v>0</v>
      </c>
    </row>
    <row r="3417" spans="1:9" s="7" customFormat="1" hidden="1">
      <c r="A3417" s="1569"/>
      <c r="B3417" s="107"/>
      <c r="C3417" s="654"/>
      <c r="D3417" s="654"/>
      <c r="E3417" s="256"/>
      <c r="F3417" s="236"/>
      <c r="G3417" s="236"/>
      <c r="H3417" s="231">
        <f t="shared" si="106"/>
        <v>0</v>
      </c>
      <c r="I3417" s="231">
        <f t="shared" si="107"/>
        <v>0</v>
      </c>
    </row>
    <row r="3418" spans="1:9" s="7" customFormat="1" hidden="1">
      <c r="A3418" s="1569"/>
      <c r="B3418" s="107"/>
      <c r="C3418" s="654"/>
      <c r="D3418" s="654"/>
      <c r="E3418" s="256"/>
      <c r="F3418" s="236"/>
      <c r="G3418" s="236"/>
      <c r="H3418" s="231">
        <f t="shared" si="106"/>
        <v>0</v>
      </c>
      <c r="I3418" s="231">
        <f t="shared" si="107"/>
        <v>0</v>
      </c>
    </row>
    <row r="3419" spans="1:9" s="7" customFormat="1" hidden="1">
      <c r="A3419" s="1569"/>
      <c r="B3419" s="107"/>
      <c r="C3419" s="654"/>
      <c r="D3419" s="654"/>
      <c r="E3419" s="256"/>
      <c r="F3419" s="236"/>
      <c r="G3419" s="236"/>
      <c r="H3419" s="231">
        <f t="shared" si="106"/>
        <v>0</v>
      </c>
      <c r="I3419" s="231">
        <f t="shared" si="107"/>
        <v>0</v>
      </c>
    </row>
    <row r="3420" spans="1:9" s="7" customFormat="1" hidden="1">
      <c r="A3420" s="1569"/>
      <c r="B3420" s="107"/>
      <c r="C3420" s="654"/>
      <c r="D3420" s="654"/>
      <c r="E3420" s="256"/>
      <c r="F3420" s="236"/>
      <c r="G3420" s="236"/>
      <c r="H3420" s="231">
        <f t="shared" si="106"/>
        <v>0</v>
      </c>
      <c r="I3420" s="231">
        <f t="shared" si="107"/>
        <v>0</v>
      </c>
    </row>
    <row r="3421" spans="1:9" s="7" customFormat="1" hidden="1">
      <c r="A3421" s="1569"/>
      <c r="B3421" s="107"/>
      <c r="C3421" s="654"/>
      <c r="D3421" s="654"/>
      <c r="E3421" s="256"/>
      <c r="F3421" s="236"/>
      <c r="G3421" s="236"/>
      <c r="H3421" s="231">
        <f t="shared" si="106"/>
        <v>0</v>
      </c>
      <c r="I3421" s="231">
        <f t="shared" si="107"/>
        <v>0</v>
      </c>
    </row>
    <row r="3422" spans="1:9" s="7" customFormat="1" hidden="1">
      <c r="A3422" s="1569"/>
      <c r="B3422" s="107"/>
      <c r="C3422" s="654"/>
      <c r="D3422" s="654"/>
      <c r="E3422" s="256"/>
      <c r="F3422" s="236"/>
      <c r="G3422" s="236"/>
      <c r="H3422" s="231">
        <f t="shared" si="106"/>
        <v>0</v>
      </c>
      <c r="I3422" s="231">
        <f t="shared" si="107"/>
        <v>0</v>
      </c>
    </row>
    <row r="3423" spans="1:9" s="7" customFormat="1" hidden="1">
      <c r="A3423" s="1569"/>
      <c r="B3423" s="107"/>
      <c r="C3423" s="654"/>
      <c r="D3423" s="654"/>
      <c r="E3423" s="256"/>
      <c r="F3423" s="236"/>
      <c r="G3423" s="236"/>
      <c r="H3423" s="231">
        <f t="shared" si="106"/>
        <v>0</v>
      </c>
      <c r="I3423" s="231">
        <f t="shared" si="107"/>
        <v>0</v>
      </c>
    </row>
    <row r="3424" spans="1:9" s="7" customFormat="1" hidden="1">
      <c r="A3424" s="1569"/>
      <c r="B3424" s="107"/>
      <c r="C3424" s="654"/>
      <c r="D3424" s="654"/>
      <c r="E3424" s="256"/>
      <c r="F3424" s="236"/>
      <c r="G3424" s="236"/>
      <c r="H3424" s="231">
        <f t="shared" si="106"/>
        <v>0</v>
      </c>
      <c r="I3424" s="231">
        <f t="shared" si="107"/>
        <v>0</v>
      </c>
    </row>
    <row r="3425" spans="1:9" s="7" customFormat="1" hidden="1">
      <c r="A3425" s="1569"/>
      <c r="B3425" s="107"/>
      <c r="C3425" s="654"/>
      <c r="D3425" s="654"/>
      <c r="E3425" s="256"/>
      <c r="F3425" s="236"/>
      <c r="G3425" s="236"/>
      <c r="H3425" s="231">
        <f t="shared" si="106"/>
        <v>0</v>
      </c>
      <c r="I3425" s="231">
        <f t="shared" si="107"/>
        <v>0</v>
      </c>
    </row>
    <row r="3426" spans="1:9" s="7" customFormat="1" hidden="1">
      <c r="A3426" s="1569"/>
      <c r="B3426" s="107"/>
      <c r="C3426" s="654"/>
      <c r="D3426" s="654"/>
      <c r="E3426" s="256"/>
      <c r="F3426" s="236"/>
      <c r="G3426" s="236"/>
      <c r="H3426" s="231">
        <f t="shared" si="106"/>
        <v>0</v>
      </c>
      <c r="I3426" s="231">
        <f t="shared" si="107"/>
        <v>0</v>
      </c>
    </row>
    <row r="3427" spans="1:9" s="7" customFormat="1" hidden="1">
      <c r="A3427" s="1569"/>
      <c r="B3427" s="107"/>
      <c r="C3427" s="654"/>
      <c r="D3427" s="654"/>
      <c r="E3427" s="256"/>
      <c r="F3427" s="236"/>
      <c r="G3427" s="236"/>
      <c r="H3427" s="231">
        <f t="shared" si="106"/>
        <v>0</v>
      </c>
      <c r="I3427" s="231">
        <f t="shared" si="107"/>
        <v>0</v>
      </c>
    </row>
    <row r="3428" spans="1:9" s="7" customFormat="1" hidden="1">
      <c r="A3428" s="1569"/>
      <c r="B3428" s="107"/>
      <c r="C3428" s="654"/>
      <c r="D3428" s="654"/>
      <c r="E3428" s="256"/>
      <c r="F3428" s="236"/>
      <c r="G3428" s="236"/>
      <c r="H3428" s="231">
        <f t="shared" si="106"/>
        <v>0</v>
      </c>
      <c r="I3428" s="231">
        <f t="shared" si="107"/>
        <v>0</v>
      </c>
    </row>
    <row r="3429" spans="1:9" s="7" customFormat="1" hidden="1">
      <c r="A3429" s="1569"/>
      <c r="B3429" s="107"/>
      <c r="C3429" s="654"/>
      <c r="D3429" s="654"/>
      <c r="E3429" s="256"/>
      <c r="F3429" s="236"/>
      <c r="G3429" s="236"/>
      <c r="H3429" s="231">
        <f t="shared" si="106"/>
        <v>0</v>
      </c>
      <c r="I3429" s="231">
        <f t="shared" si="107"/>
        <v>0</v>
      </c>
    </row>
    <row r="3430" spans="1:9" s="7" customFormat="1" hidden="1">
      <c r="A3430" s="1659"/>
      <c r="B3430" s="209" t="s">
        <v>985</v>
      </c>
      <c r="C3430" s="581">
        <f>SUM(C3396:C3429)</f>
        <v>0</v>
      </c>
      <c r="D3430" s="581">
        <f>SUM(D3396:D3429)</f>
        <v>0</v>
      </c>
      <c r="E3430" s="581">
        <f>SUM(E3396:E3429)</f>
        <v>0</v>
      </c>
      <c r="F3430" s="236"/>
      <c r="G3430" s="236"/>
      <c r="H3430" s="231">
        <f t="shared" si="106"/>
        <v>0</v>
      </c>
      <c r="I3430" s="231">
        <f t="shared" si="107"/>
        <v>0</v>
      </c>
    </row>
    <row r="3431" spans="1:9" s="7" customFormat="1" ht="112.5" hidden="1">
      <c r="A3431" s="1568" t="s">
        <v>105</v>
      </c>
      <c r="B3431" s="107" t="s">
        <v>773</v>
      </c>
      <c r="C3431" s="589"/>
      <c r="D3431" s="589"/>
      <c r="E3431" s="510"/>
      <c r="F3431" s="236"/>
      <c r="G3431" s="236"/>
      <c r="H3431" s="231">
        <f t="shared" si="106"/>
        <v>0</v>
      </c>
      <c r="I3431" s="231">
        <f t="shared" si="107"/>
        <v>0</v>
      </c>
    </row>
    <row r="3432" spans="1:9" s="7" customFormat="1" hidden="1">
      <c r="A3432" s="1569"/>
      <c r="B3432" s="371"/>
      <c r="C3432" s="850"/>
      <c r="D3432" s="850"/>
      <c r="E3432" s="844"/>
      <c r="F3432" s="236"/>
      <c r="G3432" s="236"/>
      <c r="H3432" s="231">
        <f t="shared" si="106"/>
        <v>0</v>
      </c>
      <c r="I3432" s="231">
        <f t="shared" si="107"/>
        <v>0</v>
      </c>
    </row>
    <row r="3433" spans="1:9" s="7" customFormat="1" hidden="1">
      <c r="A3433" s="1569"/>
      <c r="B3433" s="181"/>
      <c r="C3433" s="654"/>
      <c r="D3433" s="654"/>
      <c r="E3433" s="655"/>
      <c r="F3433" s="236"/>
      <c r="G3433" s="236"/>
      <c r="H3433" s="231">
        <f t="shared" si="106"/>
        <v>0</v>
      </c>
      <c r="I3433" s="231">
        <f t="shared" si="107"/>
        <v>0</v>
      </c>
    </row>
    <row r="3434" spans="1:9" s="7" customFormat="1" hidden="1">
      <c r="A3434" s="1569"/>
      <c r="B3434" s="181"/>
      <c r="C3434" s="654"/>
      <c r="D3434" s="654"/>
      <c r="E3434" s="655"/>
      <c r="F3434" s="236"/>
      <c r="G3434" s="236"/>
      <c r="H3434" s="231">
        <f t="shared" si="106"/>
        <v>0</v>
      </c>
      <c r="I3434" s="231">
        <f t="shared" si="107"/>
        <v>0</v>
      </c>
    </row>
    <row r="3435" spans="1:9" s="7" customFormat="1" hidden="1">
      <c r="A3435" s="1569"/>
      <c r="B3435" s="107"/>
      <c r="C3435" s="654"/>
      <c r="D3435" s="654"/>
      <c r="E3435" s="654"/>
      <c r="F3435" s="236"/>
      <c r="G3435" s="236"/>
      <c r="H3435" s="231">
        <f t="shared" si="106"/>
        <v>0</v>
      </c>
      <c r="I3435" s="231">
        <f t="shared" si="107"/>
        <v>0</v>
      </c>
    </row>
    <row r="3436" spans="1:9" s="7" customFormat="1" hidden="1">
      <c r="A3436" s="1569"/>
      <c r="B3436" s="116"/>
      <c r="C3436" s="679"/>
      <c r="D3436" s="679"/>
      <c r="E3436" s="654"/>
      <c r="F3436" s="236"/>
      <c r="G3436" s="236"/>
      <c r="H3436" s="231">
        <f t="shared" si="106"/>
        <v>0</v>
      </c>
      <c r="I3436" s="231">
        <f t="shared" si="107"/>
        <v>0</v>
      </c>
    </row>
    <row r="3437" spans="1:9" s="7" customFormat="1" hidden="1">
      <c r="A3437" s="1569"/>
      <c r="B3437" s="107"/>
      <c r="C3437" s="654"/>
      <c r="D3437" s="654"/>
      <c r="E3437" s="654"/>
      <c r="F3437" s="236"/>
      <c r="G3437" s="236"/>
      <c r="H3437" s="231">
        <f t="shared" si="106"/>
        <v>0</v>
      </c>
      <c r="I3437" s="231">
        <f t="shared" si="107"/>
        <v>0</v>
      </c>
    </row>
    <row r="3438" spans="1:9" s="7" customFormat="1" hidden="1">
      <c r="A3438" s="1569"/>
      <c r="B3438" s="116"/>
      <c r="C3438" s="679"/>
      <c r="D3438" s="679"/>
      <c r="E3438" s="679"/>
      <c r="F3438" s="236"/>
      <c r="G3438" s="236"/>
      <c r="H3438" s="231">
        <f t="shared" si="106"/>
        <v>0</v>
      </c>
      <c r="I3438" s="231">
        <f t="shared" si="107"/>
        <v>0</v>
      </c>
    </row>
    <row r="3439" spans="1:9" s="7" customFormat="1" hidden="1">
      <c r="A3439" s="1569"/>
      <c r="B3439" s="116"/>
      <c r="C3439" s="679"/>
      <c r="D3439" s="679"/>
      <c r="E3439" s="654"/>
      <c r="F3439" s="236"/>
      <c r="G3439" s="236"/>
      <c r="H3439" s="231">
        <f t="shared" si="106"/>
        <v>0</v>
      </c>
      <c r="I3439" s="231">
        <f t="shared" si="107"/>
        <v>0</v>
      </c>
    </row>
    <row r="3440" spans="1:9" s="7" customFormat="1" hidden="1">
      <c r="A3440" s="1569"/>
      <c r="B3440" s="107"/>
      <c r="C3440" s="654"/>
      <c r="D3440" s="654"/>
      <c r="E3440" s="654"/>
      <c r="F3440" s="236"/>
      <c r="G3440" s="236"/>
      <c r="H3440" s="231">
        <f t="shared" si="106"/>
        <v>0</v>
      </c>
      <c r="I3440" s="231">
        <f t="shared" si="107"/>
        <v>0</v>
      </c>
    </row>
    <row r="3441" spans="1:9" s="7" customFormat="1" hidden="1">
      <c r="A3441" s="1569"/>
      <c r="B3441" s="107"/>
      <c r="C3441" s="654"/>
      <c r="D3441" s="654"/>
      <c r="E3441" s="256"/>
      <c r="F3441" s="236"/>
      <c r="G3441" s="236"/>
      <c r="H3441" s="231">
        <f t="shared" si="106"/>
        <v>0</v>
      </c>
      <c r="I3441" s="231">
        <f t="shared" si="107"/>
        <v>0</v>
      </c>
    </row>
    <row r="3442" spans="1:9" s="7" customFormat="1" hidden="1">
      <c r="A3442" s="1569"/>
      <c r="B3442" s="107"/>
      <c r="C3442" s="654"/>
      <c r="D3442" s="654"/>
      <c r="E3442" s="256"/>
      <c r="F3442" s="236"/>
      <c r="G3442" s="236"/>
      <c r="H3442" s="231">
        <f t="shared" si="106"/>
        <v>0</v>
      </c>
      <c r="I3442" s="231">
        <f t="shared" si="107"/>
        <v>0</v>
      </c>
    </row>
    <row r="3443" spans="1:9" s="7" customFormat="1" hidden="1">
      <c r="A3443" s="1569"/>
      <c r="B3443" s="107"/>
      <c r="C3443" s="654"/>
      <c r="D3443" s="654"/>
      <c r="E3443" s="256"/>
      <c r="F3443" s="236"/>
      <c r="G3443" s="236"/>
      <c r="H3443" s="231">
        <f t="shared" si="106"/>
        <v>0</v>
      </c>
      <c r="I3443" s="231">
        <f t="shared" si="107"/>
        <v>0</v>
      </c>
    </row>
    <row r="3444" spans="1:9" s="7" customFormat="1" hidden="1">
      <c r="A3444" s="1569"/>
      <c r="B3444" s="107"/>
      <c r="C3444" s="654"/>
      <c r="D3444" s="654"/>
      <c r="E3444" s="256"/>
      <c r="F3444" s="236"/>
      <c r="G3444" s="236"/>
      <c r="H3444" s="231">
        <f t="shared" si="106"/>
        <v>0</v>
      </c>
      <c r="I3444" s="231">
        <f t="shared" si="107"/>
        <v>0</v>
      </c>
    </row>
    <row r="3445" spans="1:9" s="7" customFormat="1" hidden="1">
      <c r="A3445" s="1569"/>
      <c r="B3445" s="116"/>
      <c r="C3445" s="679"/>
      <c r="D3445" s="679"/>
      <c r="E3445" s="256"/>
      <c r="F3445" s="236"/>
      <c r="G3445" s="236"/>
      <c r="H3445" s="231">
        <f t="shared" si="106"/>
        <v>0</v>
      </c>
      <c r="I3445" s="231">
        <f t="shared" si="107"/>
        <v>0</v>
      </c>
    </row>
    <row r="3446" spans="1:9" s="7" customFormat="1" hidden="1">
      <c r="A3446" s="1569"/>
      <c r="B3446" s="107"/>
      <c r="C3446" s="654"/>
      <c r="D3446" s="654"/>
      <c r="E3446" s="256"/>
      <c r="F3446" s="236"/>
      <c r="G3446" s="236"/>
      <c r="H3446" s="231">
        <f t="shared" si="106"/>
        <v>0</v>
      </c>
      <c r="I3446" s="231">
        <f t="shared" si="107"/>
        <v>0</v>
      </c>
    </row>
    <row r="3447" spans="1:9" s="7" customFormat="1" hidden="1">
      <c r="A3447" s="1569"/>
      <c r="B3447" s="107"/>
      <c r="C3447" s="654"/>
      <c r="D3447" s="654"/>
      <c r="E3447" s="256"/>
      <c r="F3447" s="236"/>
      <c r="G3447" s="236"/>
      <c r="H3447" s="231">
        <f t="shared" si="106"/>
        <v>0</v>
      </c>
      <c r="I3447" s="231">
        <f t="shared" si="107"/>
        <v>0</v>
      </c>
    </row>
    <row r="3448" spans="1:9" s="7" customFormat="1" hidden="1">
      <c r="A3448" s="1569"/>
      <c r="B3448" s="107"/>
      <c r="C3448" s="654"/>
      <c r="D3448" s="654"/>
      <c r="E3448" s="256"/>
      <c r="F3448" s="236"/>
      <c r="G3448" s="236"/>
      <c r="H3448" s="231">
        <f t="shared" si="106"/>
        <v>0</v>
      </c>
      <c r="I3448" s="231">
        <f t="shared" si="107"/>
        <v>0</v>
      </c>
    </row>
    <row r="3449" spans="1:9" s="7" customFormat="1" hidden="1">
      <c r="A3449" s="1569"/>
      <c r="B3449" s="107"/>
      <c r="C3449" s="654"/>
      <c r="D3449" s="654"/>
      <c r="E3449" s="256"/>
      <c r="F3449" s="236"/>
      <c r="G3449" s="236"/>
      <c r="H3449" s="231">
        <f t="shared" si="106"/>
        <v>0</v>
      </c>
      <c r="I3449" s="231">
        <f t="shared" si="107"/>
        <v>0</v>
      </c>
    </row>
    <row r="3450" spans="1:9" s="7" customFormat="1" hidden="1">
      <c r="A3450" s="1569"/>
      <c r="B3450" s="107"/>
      <c r="C3450" s="654"/>
      <c r="D3450" s="654"/>
      <c r="E3450" s="256"/>
      <c r="F3450" s="236"/>
      <c r="G3450" s="236"/>
      <c r="H3450" s="231">
        <f t="shared" si="106"/>
        <v>0</v>
      </c>
      <c r="I3450" s="231">
        <f t="shared" si="107"/>
        <v>0</v>
      </c>
    </row>
    <row r="3451" spans="1:9" s="7" customFormat="1" hidden="1">
      <c r="A3451" s="1569"/>
      <c r="B3451" s="107"/>
      <c r="C3451" s="654"/>
      <c r="D3451" s="654"/>
      <c r="E3451" s="256"/>
      <c r="F3451" s="236"/>
      <c r="G3451" s="236"/>
      <c r="H3451" s="231">
        <f t="shared" si="106"/>
        <v>0</v>
      </c>
      <c r="I3451" s="231">
        <f t="shared" si="107"/>
        <v>0</v>
      </c>
    </row>
    <row r="3452" spans="1:9" s="7" customFormat="1" hidden="1">
      <c r="A3452" s="1569"/>
      <c r="B3452" s="107"/>
      <c r="C3452" s="654"/>
      <c r="D3452" s="654"/>
      <c r="E3452" s="256"/>
      <c r="F3452" s="236"/>
      <c r="G3452" s="236"/>
      <c r="H3452" s="231">
        <f t="shared" si="106"/>
        <v>0</v>
      </c>
      <c r="I3452" s="231">
        <f t="shared" si="107"/>
        <v>0</v>
      </c>
    </row>
    <row r="3453" spans="1:9" s="7" customFormat="1" hidden="1">
      <c r="A3453" s="1569"/>
      <c r="B3453" s="107"/>
      <c r="C3453" s="654"/>
      <c r="D3453" s="654"/>
      <c r="E3453" s="256"/>
      <c r="F3453" s="236"/>
      <c r="G3453" s="236"/>
      <c r="H3453" s="231">
        <f t="shared" si="106"/>
        <v>0</v>
      </c>
      <c r="I3453" s="231">
        <f t="shared" si="107"/>
        <v>0</v>
      </c>
    </row>
    <row r="3454" spans="1:9" s="7" customFormat="1" hidden="1">
      <c r="A3454" s="1569"/>
      <c r="B3454" s="107"/>
      <c r="C3454" s="654"/>
      <c r="D3454" s="654"/>
      <c r="E3454" s="256"/>
      <c r="F3454" s="236"/>
      <c r="G3454" s="236"/>
      <c r="H3454" s="231">
        <f t="shared" si="106"/>
        <v>0</v>
      </c>
      <c r="I3454" s="231">
        <f t="shared" si="107"/>
        <v>0</v>
      </c>
    </row>
    <row r="3455" spans="1:9" s="7" customFormat="1" hidden="1">
      <c r="A3455" s="1569"/>
      <c r="B3455" s="107"/>
      <c r="C3455" s="654"/>
      <c r="D3455" s="654"/>
      <c r="E3455" s="256"/>
      <c r="F3455" s="236"/>
      <c r="G3455" s="236"/>
      <c r="H3455" s="231">
        <f t="shared" si="106"/>
        <v>0</v>
      </c>
      <c r="I3455" s="231">
        <f t="shared" si="107"/>
        <v>0</v>
      </c>
    </row>
    <row r="3456" spans="1:9" s="7" customFormat="1" hidden="1">
      <c r="A3456" s="1569"/>
      <c r="B3456" s="107"/>
      <c r="C3456" s="654"/>
      <c r="D3456" s="654"/>
      <c r="E3456" s="256"/>
      <c r="F3456" s="236"/>
      <c r="G3456" s="236"/>
      <c r="H3456" s="231">
        <f t="shared" si="106"/>
        <v>0</v>
      </c>
      <c r="I3456" s="231">
        <f t="shared" si="107"/>
        <v>0</v>
      </c>
    </row>
    <row r="3457" spans="1:9" s="7" customFormat="1" hidden="1">
      <c r="A3457" s="1569"/>
      <c r="B3457" s="107"/>
      <c r="C3457" s="654"/>
      <c r="D3457" s="654"/>
      <c r="E3457" s="256"/>
      <c r="F3457" s="236"/>
      <c r="G3457" s="236"/>
      <c r="H3457" s="231">
        <f t="shared" si="106"/>
        <v>0</v>
      </c>
      <c r="I3457" s="231">
        <f t="shared" si="107"/>
        <v>0</v>
      </c>
    </row>
    <row r="3458" spans="1:9" s="7" customFormat="1" hidden="1">
      <c r="A3458" s="1569"/>
      <c r="B3458" s="107"/>
      <c r="C3458" s="654"/>
      <c r="D3458" s="654"/>
      <c r="E3458" s="256"/>
      <c r="F3458" s="236"/>
      <c r="G3458" s="236"/>
      <c r="H3458" s="231">
        <f t="shared" si="106"/>
        <v>0</v>
      </c>
      <c r="I3458" s="231">
        <f t="shared" si="107"/>
        <v>0</v>
      </c>
    </row>
    <row r="3459" spans="1:9" s="7" customFormat="1" hidden="1">
      <c r="A3459" s="1569"/>
      <c r="B3459" s="107"/>
      <c r="C3459" s="654"/>
      <c r="D3459" s="654"/>
      <c r="E3459" s="256"/>
      <c r="F3459" s="236"/>
      <c r="G3459" s="236"/>
      <c r="H3459" s="231">
        <f t="shared" si="106"/>
        <v>0</v>
      </c>
      <c r="I3459" s="231">
        <f t="shared" si="107"/>
        <v>0</v>
      </c>
    </row>
    <row r="3460" spans="1:9" s="7" customFormat="1" hidden="1">
      <c r="A3460" s="1569"/>
      <c r="B3460" s="107"/>
      <c r="C3460" s="654"/>
      <c r="D3460" s="654"/>
      <c r="E3460" s="256"/>
      <c r="F3460" s="236"/>
      <c r="G3460" s="236"/>
      <c r="H3460" s="231">
        <f t="shared" si="106"/>
        <v>0</v>
      </c>
      <c r="I3460" s="231">
        <f t="shared" si="107"/>
        <v>0</v>
      </c>
    </row>
    <row r="3461" spans="1:9" s="7" customFormat="1" hidden="1">
      <c r="A3461" s="1569"/>
      <c r="B3461" s="107"/>
      <c r="C3461" s="654"/>
      <c r="D3461" s="654"/>
      <c r="E3461" s="256"/>
      <c r="F3461" s="236"/>
      <c r="G3461" s="236"/>
      <c r="H3461" s="231">
        <f t="shared" si="106"/>
        <v>0</v>
      </c>
      <c r="I3461" s="231">
        <f t="shared" si="107"/>
        <v>0</v>
      </c>
    </row>
    <row r="3462" spans="1:9" s="7" customFormat="1" hidden="1">
      <c r="A3462" s="1569"/>
      <c r="B3462" s="107"/>
      <c r="C3462" s="654"/>
      <c r="D3462" s="654"/>
      <c r="E3462" s="256"/>
      <c r="F3462" s="236"/>
      <c r="G3462" s="236"/>
      <c r="H3462" s="231">
        <f t="shared" si="106"/>
        <v>0</v>
      </c>
      <c r="I3462" s="231">
        <f t="shared" si="107"/>
        <v>0</v>
      </c>
    </row>
    <row r="3463" spans="1:9" s="7" customFormat="1" hidden="1">
      <c r="A3463" s="1569"/>
      <c r="B3463" s="107"/>
      <c r="C3463" s="654"/>
      <c r="D3463" s="654"/>
      <c r="E3463" s="256"/>
      <c r="F3463" s="236"/>
      <c r="G3463" s="236"/>
      <c r="H3463" s="231">
        <f t="shared" si="106"/>
        <v>0</v>
      </c>
      <c r="I3463" s="231">
        <f t="shared" si="107"/>
        <v>0</v>
      </c>
    </row>
    <row r="3464" spans="1:9" s="7" customFormat="1" hidden="1">
      <c r="A3464" s="1569"/>
      <c r="B3464" s="107"/>
      <c r="C3464" s="654"/>
      <c r="D3464" s="654"/>
      <c r="E3464" s="256"/>
      <c r="F3464" s="236"/>
      <c r="G3464" s="236"/>
      <c r="H3464" s="231">
        <f t="shared" si="106"/>
        <v>0</v>
      </c>
      <c r="I3464" s="231">
        <f t="shared" si="107"/>
        <v>0</v>
      </c>
    </row>
    <row r="3465" spans="1:9" s="7" customFormat="1" hidden="1">
      <c r="A3465" s="1659"/>
      <c r="B3465" s="209" t="s">
        <v>985</v>
      </c>
      <c r="C3465" s="581">
        <f>SUM(C3431:C3464)</f>
        <v>0</v>
      </c>
      <c r="D3465" s="581">
        <f>SUM(D3431:D3464)</f>
        <v>0</v>
      </c>
      <c r="E3465" s="581">
        <f>SUM(E3431:E3464)</f>
        <v>0</v>
      </c>
      <c r="F3465" s="236"/>
      <c r="G3465" s="236"/>
      <c r="H3465" s="231">
        <f t="shared" ref="H3465:H3528" si="108">E3465+D3465-C3465</f>
        <v>0</v>
      </c>
      <c r="I3465" s="231">
        <f t="shared" ref="I3465:I3528" si="109">SUM(C3465:E3465)</f>
        <v>0</v>
      </c>
    </row>
    <row r="3466" spans="1:9" s="7" customFormat="1" hidden="1">
      <c r="A3466" s="1568" t="s">
        <v>106</v>
      </c>
      <c r="B3466" s="371"/>
      <c r="C3466" s="851"/>
      <c r="D3466" s="851"/>
      <c r="E3466" s="852"/>
      <c r="F3466" s="263"/>
      <c r="G3466" s="236"/>
      <c r="H3466" s="231">
        <f t="shared" si="108"/>
        <v>0</v>
      </c>
      <c r="I3466" s="231">
        <f t="shared" si="109"/>
        <v>0</v>
      </c>
    </row>
    <row r="3467" spans="1:9" s="7" customFormat="1" hidden="1">
      <c r="A3467" s="1569"/>
      <c r="B3467" s="371"/>
      <c r="C3467" s="851"/>
      <c r="D3467" s="851"/>
      <c r="E3467" s="852"/>
      <c r="F3467" s="263"/>
      <c r="G3467" s="236"/>
      <c r="H3467" s="231">
        <f t="shared" si="108"/>
        <v>0</v>
      </c>
      <c r="I3467" s="231">
        <f t="shared" si="109"/>
        <v>0</v>
      </c>
    </row>
    <row r="3468" spans="1:9" s="7" customFormat="1" hidden="1">
      <c r="A3468" s="1569"/>
      <c r="B3468" s="371"/>
      <c r="C3468" s="851"/>
      <c r="D3468" s="851"/>
      <c r="E3468" s="852"/>
      <c r="F3468" s="263"/>
      <c r="G3468" s="236"/>
      <c r="H3468" s="231">
        <f t="shared" si="108"/>
        <v>0</v>
      </c>
      <c r="I3468" s="231">
        <f t="shared" si="109"/>
        <v>0</v>
      </c>
    </row>
    <row r="3469" spans="1:9" s="7" customFormat="1" hidden="1">
      <c r="A3469" s="1569"/>
      <c r="B3469" s="181"/>
      <c r="C3469" s="654"/>
      <c r="D3469" s="654"/>
      <c r="E3469" s="655"/>
      <c r="F3469" s="263"/>
      <c r="G3469" s="236"/>
      <c r="H3469" s="231">
        <f t="shared" si="108"/>
        <v>0</v>
      </c>
      <c r="I3469" s="231">
        <f t="shared" si="109"/>
        <v>0</v>
      </c>
    </row>
    <row r="3470" spans="1:9" s="7" customFormat="1" hidden="1">
      <c r="A3470" s="1569"/>
      <c r="B3470" s="107"/>
      <c r="C3470" s="654"/>
      <c r="D3470" s="654"/>
      <c r="E3470" s="654"/>
      <c r="F3470" s="263"/>
      <c r="G3470" s="236"/>
      <c r="H3470" s="231">
        <f t="shared" si="108"/>
        <v>0</v>
      </c>
      <c r="I3470" s="231">
        <f t="shared" si="109"/>
        <v>0</v>
      </c>
    </row>
    <row r="3471" spans="1:9" s="7" customFormat="1" hidden="1">
      <c r="A3471" s="1569"/>
      <c r="B3471" s="116"/>
      <c r="C3471" s="679"/>
      <c r="D3471" s="679"/>
      <c r="E3471" s="654"/>
      <c r="F3471" s="263"/>
      <c r="G3471" s="236"/>
      <c r="H3471" s="231">
        <f t="shared" si="108"/>
        <v>0</v>
      </c>
      <c r="I3471" s="231">
        <f t="shared" si="109"/>
        <v>0</v>
      </c>
    </row>
    <row r="3472" spans="1:9" s="7" customFormat="1" hidden="1">
      <c r="A3472" s="1569"/>
      <c r="B3472" s="107"/>
      <c r="C3472" s="654"/>
      <c r="D3472" s="654"/>
      <c r="E3472" s="654"/>
      <c r="F3472" s="263"/>
      <c r="G3472" s="236"/>
      <c r="H3472" s="231">
        <f t="shared" si="108"/>
        <v>0</v>
      </c>
      <c r="I3472" s="231">
        <f t="shared" si="109"/>
        <v>0</v>
      </c>
    </row>
    <row r="3473" spans="1:9" s="7" customFormat="1" hidden="1">
      <c r="A3473" s="1569"/>
      <c r="B3473" s="116"/>
      <c r="C3473" s="679"/>
      <c r="D3473" s="679"/>
      <c r="E3473" s="679"/>
      <c r="F3473" s="263"/>
      <c r="G3473" s="236"/>
      <c r="H3473" s="231">
        <f t="shared" si="108"/>
        <v>0</v>
      </c>
      <c r="I3473" s="231">
        <f t="shared" si="109"/>
        <v>0</v>
      </c>
    </row>
    <row r="3474" spans="1:9" s="7" customFormat="1" hidden="1">
      <c r="A3474" s="1569"/>
      <c r="B3474" s="116"/>
      <c r="C3474" s="679"/>
      <c r="D3474" s="679"/>
      <c r="E3474" s="654"/>
      <c r="F3474" s="263"/>
      <c r="G3474" s="236"/>
      <c r="H3474" s="231">
        <f t="shared" si="108"/>
        <v>0</v>
      </c>
      <c r="I3474" s="231">
        <f t="shared" si="109"/>
        <v>0</v>
      </c>
    </row>
    <row r="3475" spans="1:9" s="7" customFormat="1" hidden="1">
      <c r="A3475" s="1569"/>
      <c r="B3475" s="107"/>
      <c r="C3475" s="654"/>
      <c r="D3475" s="654"/>
      <c r="E3475" s="654"/>
      <c r="F3475" s="263"/>
      <c r="G3475" s="236"/>
      <c r="H3475" s="231">
        <f t="shared" si="108"/>
        <v>0</v>
      </c>
      <c r="I3475" s="231">
        <f t="shared" si="109"/>
        <v>0</v>
      </c>
    </row>
    <row r="3476" spans="1:9" s="7" customFormat="1" hidden="1">
      <c r="A3476" s="1569"/>
      <c r="B3476" s="107"/>
      <c r="C3476" s="654"/>
      <c r="D3476" s="654"/>
      <c r="E3476" s="256"/>
      <c r="F3476" s="263"/>
      <c r="G3476" s="236"/>
      <c r="H3476" s="231">
        <f t="shared" si="108"/>
        <v>0</v>
      </c>
      <c r="I3476" s="231">
        <f t="shared" si="109"/>
        <v>0</v>
      </c>
    </row>
    <row r="3477" spans="1:9" s="7" customFormat="1" hidden="1">
      <c r="A3477" s="1569"/>
      <c r="B3477" s="107"/>
      <c r="C3477" s="654"/>
      <c r="D3477" s="654"/>
      <c r="E3477" s="256"/>
      <c r="F3477" s="263"/>
      <c r="G3477" s="236"/>
      <c r="H3477" s="231">
        <f t="shared" si="108"/>
        <v>0</v>
      </c>
      <c r="I3477" s="231">
        <f t="shared" si="109"/>
        <v>0</v>
      </c>
    </row>
    <row r="3478" spans="1:9" s="7" customFormat="1" hidden="1">
      <c r="A3478" s="1569"/>
      <c r="B3478" s="107"/>
      <c r="C3478" s="654"/>
      <c r="D3478" s="654"/>
      <c r="E3478" s="256"/>
      <c r="F3478" s="263"/>
      <c r="G3478" s="236"/>
      <c r="H3478" s="231">
        <f t="shared" si="108"/>
        <v>0</v>
      </c>
      <c r="I3478" s="231">
        <f t="shared" si="109"/>
        <v>0</v>
      </c>
    </row>
    <row r="3479" spans="1:9" s="7" customFormat="1" hidden="1">
      <c r="A3479" s="1569"/>
      <c r="B3479" s="107"/>
      <c r="C3479" s="654"/>
      <c r="D3479" s="654"/>
      <c r="E3479" s="256"/>
      <c r="F3479" s="263"/>
      <c r="G3479" s="236"/>
      <c r="H3479" s="231">
        <f t="shared" si="108"/>
        <v>0</v>
      </c>
      <c r="I3479" s="231">
        <f t="shared" si="109"/>
        <v>0</v>
      </c>
    </row>
    <row r="3480" spans="1:9" s="7" customFormat="1" hidden="1">
      <c r="A3480" s="1569"/>
      <c r="B3480" s="116"/>
      <c r="C3480" s="679"/>
      <c r="D3480" s="679"/>
      <c r="E3480" s="256"/>
      <c r="F3480" s="263"/>
      <c r="G3480" s="236"/>
      <c r="H3480" s="231">
        <f t="shared" si="108"/>
        <v>0</v>
      </c>
      <c r="I3480" s="231">
        <f t="shared" si="109"/>
        <v>0</v>
      </c>
    </row>
    <row r="3481" spans="1:9" s="7" customFormat="1" hidden="1">
      <c r="A3481" s="1569"/>
      <c r="B3481" s="107"/>
      <c r="C3481" s="654"/>
      <c r="D3481" s="654"/>
      <c r="E3481" s="256"/>
      <c r="F3481" s="263"/>
      <c r="G3481" s="236"/>
      <c r="H3481" s="231">
        <f t="shared" si="108"/>
        <v>0</v>
      </c>
      <c r="I3481" s="231">
        <f t="shared" si="109"/>
        <v>0</v>
      </c>
    </row>
    <row r="3482" spans="1:9" s="7" customFormat="1" hidden="1">
      <c r="A3482" s="1569"/>
      <c r="B3482" s="107"/>
      <c r="C3482" s="654"/>
      <c r="D3482" s="654"/>
      <c r="E3482" s="256"/>
      <c r="F3482" s="263"/>
      <c r="G3482" s="236"/>
      <c r="H3482" s="231">
        <f t="shared" si="108"/>
        <v>0</v>
      </c>
      <c r="I3482" s="231">
        <f t="shared" si="109"/>
        <v>0</v>
      </c>
    </row>
    <row r="3483" spans="1:9" s="7" customFormat="1" hidden="1">
      <c r="A3483" s="1569"/>
      <c r="B3483" s="107"/>
      <c r="C3483" s="654"/>
      <c r="D3483" s="654"/>
      <c r="E3483" s="256"/>
      <c r="F3483" s="263"/>
      <c r="G3483" s="236"/>
      <c r="H3483" s="231">
        <f t="shared" si="108"/>
        <v>0</v>
      </c>
      <c r="I3483" s="231">
        <f t="shared" si="109"/>
        <v>0</v>
      </c>
    </row>
    <row r="3484" spans="1:9" s="7" customFormat="1" hidden="1">
      <c r="A3484" s="1569"/>
      <c r="B3484" s="107"/>
      <c r="C3484" s="654"/>
      <c r="D3484" s="654"/>
      <c r="E3484" s="256"/>
      <c r="F3484" s="263"/>
      <c r="G3484" s="236"/>
      <c r="H3484" s="231">
        <f t="shared" si="108"/>
        <v>0</v>
      </c>
      <c r="I3484" s="231">
        <f t="shared" si="109"/>
        <v>0</v>
      </c>
    </row>
    <row r="3485" spans="1:9" s="7" customFormat="1" hidden="1">
      <c r="A3485" s="1569"/>
      <c r="B3485" s="107"/>
      <c r="C3485" s="654"/>
      <c r="D3485" s="654"/>
      <c r="E3485" s="256"/>
      <c r="F3485" s="263"/>
      <c r="G3485" s="236"/>
      <c r="H3485" s="231">
        <f t="shared" si="108"/>
        <v>0</v>
      </c>
      <c r="I3485" s="231">
        <f t="shared" si="109"/>
        <v>0</v>
      </c>
    </row>
    <row r="3486" spans="1:9" s="7" customFormat="1" hidden="1">
      <c r="A3486" s="1569"/>
      <c r="B3486" s="107"/>
      <c r="C3486" s="654"/>
      <c r="D3486" s="654"/>
      <c r="E3486" s="256"/>
      <c r="F3486" s="263"/>
      <c r="G3486" s="236"/>
      <c r="H3486" s="231">
        <f t="shared" si="108"/>
        <v>0</v>
      </c>
      <c r="I3486" s="231">
        <f t="shared" si="109"/>
        <v>0</v>
      </c>
    </row>
    <row r="3487" spans="1:9" s="7" customFormat="1" hidden="1">
      <c r="A3487" s="1569"/>
      <c r="B3487" s="107"/>
      <c r="C3487" s="654"/>
      <c r="D3487" s="654"/>
      <c r="E3487" s="256"/>
      <c r="F3487" s="263"/>
      <c r="G3487" s="236"/>
      <c r="H3487" s="231">
        <f t="shared" si="108"/>
        <v>0</v>
      </c>
      <c r="I3487" s="231">
        <f t="shared" si="109"/>
        <v>0</v>
      </c>
    </row>
    <row r="3488" spans="1:9" s="7" customFormat="1" hidden="1">
      <c r="A3488" s="1569"/>
      <c r="B3488" s="107"/>
      <c r="C3488" s="654"/>
      <c r="D3488" s="654"/>
      <c r="E3488" s="256"/>
      <c r="F3488" s="263"/>
      <c r="G3488" s="236"/>
      <c r="H3488" s="231">
        <f t="shared" si="108"/>
        <v>0</v>
      </c>
      <c r="I3488" s="231">
        <f t="shared" si="109"/>
        <v>0</v>
      </c>
    </row>
    <row r="3489" spans="1:12" s="7" customFormat="1" hidden="1">
      <c r="A3489" s="1569"/>
      <c r="B3489" s="107"/>
      <c r="C3489" s="654"/>
      <c r="D3489" s="654"/>
      <c r="E3489" s="256"/>
      <c r="F3489" s="263"/>
      <c r="G3489" s="236"/>
      <c r="H3489" s="231">
        <f t="shared" si="108"/>
        <v>0</v>
      </c>
      <c r="I3489" s="231">
        <f t="shared" si="109"/>
        <v>0</v>
      </c>
    </row>
    <row r="3490" spans="1:12" s="7" customFormat="1" hidden="1">
      <c r="A3490" s="1569"/>
      <c r="B3490" s="107"/>
      <c r="C3490" s="654"/>
      <c r="D3490" s="654"/>
      <c r="E3490" s="256"/>
      <c r="F3490" s="263"/>
      <c r="G3490" s="236"/>
      <c r="H3490" s="231">
        <f t="shared" si="108"/>
        <v>0</v>
      </c>
      <c r="I3490" s="231">
        <f t="shared" si="109"/>
        <v>0</v>
      </c>
    </row>
    <row r="3491" spans="1:12" s="7" customFormat="1" hidden="1">
      <c r="A3491" s="1569"/>
      <c r="B3491" s="107"/>
      <c r="C3491" s="654"/>
      <c r="D3491" s="654"/>
      <c r="E3491" s="256"/>
      <c r="F3491" s="263"/>
      <c r="G3491" s="236"/>
      <c r="H3491" s="231">
        <f t="shared" si="108"/>
        <v>0</v>
      </c>
      <c r="I3491" s="231">
        <f t="shared" si="109"/>
        <v>0</v>
      </c>
    </row>
    <row r="3492" spans="1:12" s="7" customFormat="1" hidden="1">
      <c r="A3492" s="1569"/>
      <c r="B3492" s="107"/>
      <c r="C3492" s="654"/>
      <c r="D3492" s="654"/>
      <c r="E3492" s="256"/>
      <c r="F3492" s="263"/>
      <c r="G3492" s="236"/>
      <c r="H3492" s="231">
        <f t="shared" si="108"/>
        <v>0</v>
      </c>
      <c r="I3492" s="231">
        <f t="shared" si="109"/>
        <v>0</v>
      </c>
    </row>
    <row r="3493" spans="1:12" s="7" customFormat="1" hidden="1">
      <c r="A3493" s="1569"/>
      <c r="B3493" s="107"/>
      <c r="C3493" s="654"/>
      <c r="D3493" s="654"/>
      <c r="E3493" s="256"/>
      <c r="F3493" s="263"/>
      <c r="G3493" s="236"/>
      <c r="H3493" s="231">
        <f t="shared" si="108"/>
        <v>0</v>
      </c>
      <c r="I3493" s="231">
        <f t="shared" si="109"/>
        <v>0</v>
      </c>
    </row>
    <row r="3494" spans="1:12" s="7" customFormat="1" hidden="1">
      <c r="A3494" s="1569"/>
      <c r="B3494" s="107"/>
      <c r="C3494" s="654"/>
      <c r="D3494" s="654"/>
      <c r="E3494" s="256"/>
      <c r="F3494" s="263"/>
      <c r="G3494" s="236"/>
      <c r="H3494" s="231">
        <f t="shared" si="108"/>
        <v>0</v>
      </c>
      <c r="I3494" s="231">
        <f t="shared" si="109"/>
        <v>0</v>
      </c>
    </row>
    <row r="3495" spans="1:12" s="7" customFormat="1" hidden="1">
      <c r="A3495" s="1569"/>
      <c r="B3495" s="107"/>
      <c r="C3495" s="654"/>
      <c r="D3495" s="654"/>
      <c r="E3495" s="256"/>
      <c r="F3495" s="263"/>
      <c r="G3495" s="236"/>
      <c r="H3495" s="231">
        <f t="shared" si="108"/>
        <v>0</v>
      </c>
      <c r="I3495" s="231">
        <f t="shared" si="109"/>
        <v>0</v>
      </c>
    </row>
    <row r="3496" spans="1:12" s="7" customFormat="1" hidden="1">
      <c r="A3496" s="1569"/>
      <c r="B3496" s="107"/>
      <c r="C3496" s="654"/>
      <c r="D3496" s="654"/>
      <c r="E3496" s="256"/>
      <c r="F3496" s="263"/>
      <c r="G3496" s="236"/>
      <c r="H3496" s="231">
        <f t="shared" si="108"/>
        <v>0</v>
      </c>
      <c r="I3496" s="231">
        <f t="shared" si="109"/>
        <v>0</v>
      </c>
    </row>
    <row r="3497" spans="1:12" s="7" customFormat="1" hidden="1">
      <c r="A3497" s="1569"/>
      <c r="B3497" s="107"/>
      <c r="C3497" s="654"/>
      <c r="D3497" s="654"/>
      <c r="E3497" s="256"/>
      <c r="F3497" s="263"/>
      <c r="G3497" s="236"/>
      <c r="H3497" s="231">
        <f t="shared" si="108"/>
        <v>0</v>
      </c>
      <c r="I3497" s="231">
        <f t="shared" si="109"/>
        <v>0</v>
      </c>
    </row>
    <row r="3498" spans="1:12" s="7" customFormat="1" hidden="1">
      <c r="A3498" s="1569"/>
      <c r="B3498" s="107"/>
      <c r="C3498" s="654"/>
      <c r="D3498" s="654"/>
      <c r="E3498" s="256"/>
      <c r="F3498" s="263"/>
      <c r="G3498" s="236"/>
      <c r="H3498" s="231">
        <f t="shared" si="108"/>
        <v>0</v>
      </c>
      <c r="I3498" s="231">
        <f t="shared" si="109"/>
        <v>0</v>
      </c>
    </row>
    <row r="3499" spans="1:12" s="7" customFormat="1" hidden="1">
      <c r="A3499" s="1569"/>
      <c r="B3499" s="107"/>
      <c r="C3499" s="654"/>
      <c r="D3499" s="654"/>
      <c r="E3499" s="256"/>
      <c r="F3499" s="263"/>
      <c r="G3499" s="236"/>
      <c r="H3499" s="231">
        <f t="shared" si="108"/>
        <v>0</v>
      </c>
      <c r="I3499" s="231">
        <f t="shared" si="109"/>
        <v>0</v>
      </c>
    </row>
    <row r="3500" spans="1:12" s="7" customFormat="1" hidden="1">
      <c r="A3500" s="1659"/>
      <c r="B3500" s="209" t="s">
        <v>985</v>
      </c>
      <c r="C3500" s="735">
        <f>SUM(C3466:C3499)</f>
        <v>0</v>
      </c>
      <c r="D3500" s="735">
        <f>SUM(D3466:D3499)</f>
        <v>0</v>
      </c>
      <c r="E3500" s="735">
        <f>SUM(E3466:E3499)</f>
        <v>0</v>
      </c>
      <c r="F3500" s="263"/>
      <c r="G3500" s="236"/>
      <c r="H3500" s="231">
        <f t="shared" si="108"/>
        <v>0</v>
      </c>
      <c r="I3500" s="231">
        <f t="shared" si="109"/>
        <v>0</v>
      </c>
    </row>
    <row r="3501" spans="1:12" s="7" customFormat="1" ht="56.25">
      <c r="A3501" s="1568" t="s">
        <v>1119</v>
      </c>
      <c r="B3501" s="1215" t="s">
        <v>1426</v>
      </c>
      <c r="C3501" s="1214">
        <v>50000</v>
      </c>
      <c r="D3501" s="256">
        <v>50000</v>
      </c>
      <c r="E3501" s="256"/>
      <c r="F3501" s="263"/>
      <c r="G3501" s="236"/>
      <c r="H3501" s="1497">
        <f t="shared" si="108"/>
        <v>0</v>
      </c>
      <c r="I3501" s="1497">
        <f t="shared" si="109"/>
        <v>100000</v>
      </c>
      <c r="J3501" s="1435"/>
      <c r="K3501" s="1491"/>
      <c r="L3501" s="1491"/>
    </row>
    <row r="3502" spans="1:12" s="7" customFormat="1" ht="93.75">
      <c r="A3502" s="1569"/>
      <c r="B3502" s="107" t="s">
        <v>1809</v>
      </c>
      <c r="C3502" s="184">
        <v>16920</v>
      </c>
      <c r="D3502" s="184"/>
      <c r="E3502" s="184">
        <v>16920</v>
      </c>
      <c r="F3502" s="263"/>
      <c r="G3502" s="236"/>
      <c r="H3502" s="1497">
        <f t="shared" si="108"/>
        <v>0</v>
      </c>
      <c r="I3502" s="1497">
        <f t="shared" si="109"/>
        <v>33840</v>
      </c>
      <c r="J3502" s="1435"/>
      <c r="K3502" s="1491"/>
      <c r="L3502" s="1491"/>
    </row>
    <row r="3503" spans="1:12" s="7" customFormat="1" ht="37.5">
      <c r="A3503" s="1569"/>
      <c r="B3503" s="107" t="s">
        <v>1810</v>
      </c>
      <c r="C3503" s="184">
        <v>11890</v>
      </c>
      <c r="D3503" s="184"/>
      <c r="E3503" s="184">
        <v>11890</v>
      </c>
      <c r="F3503" s="263"/>
      <c r="G3503" s="236"/>
      <c r="H3503" s="1497">
        <f t="shared" si="108"/>
        <v>0</v>
      </c>
      <c r="I3503" s="1497">
        <f t="shared" si="109"/>
        <v>23780</v>
      </c>
      <c r="J3503" s="1435"/>
      <c r="K3503" s="1491"/>
      <c r="L3503" s="1491"/>
    </row>
    <row r="3504" spans="1:12" s="7" customFormat="1" ht="37.5">
      <c r="A3504" s="1569"/>
      <c r="B3504" s="107" t="s">
        <v>1811</v>
      </c>
      <c r="C3504" s="184">
        <v>7000</v>
      </c>
      <c r="D3504" s="184">
        <v>7000</v>
      </c>
      <c r="E3504" s="184"/>
      <c r="F3504" s="263"/>
      <c r="G3504" s="236"/>
      <c r="H3504" s="1497">
        <f t="shared" si="108"/>
        <v>0</v>
      </c>
      <c r="I3504" s="1497">
        <f t="shared" si="109"/>
        <v>14000</v>
      </c>
      <c r="J3504" s="1435"/>
      <c r="K3504" s="1491"/>
      <c r="L3504" s="1491"/>
    </row>
    <row r="3505" spans="1:12" s="7" customFormat="1" ht="75">
      <c r="A3505" s="1569"/>
      <c r="B3505" s="107" t="s">
        <v>1812</v>
      </c>
      <c r="C3505" s="184">
        <v>20000</v>
      </c>
      <c r="D3505" s="184"/>
      <c r="E3505" s="184">
        <v>20000</v>
      </c>
      <c r="F3505" s="263"/>
      <c r="G3505" s="236"/>
      <c r="H3505" s="1497">
        <f t="shared" si="108"/>
        <v>0</v>
      </c>
      <c r="I3505" s="1497">
        <f t="shared" si="109"/>
        <v>40000</v>
      </c>
      <c r="J3505" s="1435"/>
      <c r="K3505" s="1491"/>
      <c r="L3505" s="1491"/>
    </row>
    <row r="3506" spans="1:12" s="7" customFormat="1" hidden="1">
      <c r="A3506" s="1569"/>
      <c r="B3506" s="643"/>
      <c r="C3506" s="580"/>
      <c r="D3506" s="736"/>
      <c r="E3506" s="580"/>
      <c r="F3506" s="263"/>
      <c r="G3506" s="236"/>
      <c r="H3506" s="231">
        <f t="shared" si="108"/>
        <v>0</v>
      </c>
      <c r="I3506" s="231">
        <f t="shared" si="109"/>
        <v>0</v>
      </c>
    </row>
    <row r="3507" spans="1:12" s="7" customFormat="1" hidden="1">
      <c r="A3507" s="1569"/>
      <c r="B3507" s="755"/>
      <c r="C3507" s="799"/>
      <c r="D3507" s="799"/>
      <c r="E3507" s="799"/>
      <c r="F3507" s="263"/>
      <c r="G3507" s="236"/>
      <c r="H3507" s="231">
        <f t="shared" si="108"/>
        <v>0</v>
      </c>
      <c r="I3507" s="231">
        <f t="shared" si="109"/>
        <v>0</v>
      </c>
    </row>
    <row r="3508" spans="1:12" s="7" customFormat="1" hidden="1">
      <c r="A3508" s="1569"/>
      <c r="B3508" s="371"/>
      <c r="C3508" s="829"/>
      <c r="D3508" s="829"/>
      <c r="E3508" s="829"/>
      <c r="F3508" s="263"/>
      <c r="G3508" s="236"/>
      <c r="H3508" s="231">
        <f t="shared" si="108"/>
        <v>0</v>
      </c>
      <c r="I3508" s="231">
        <f t="shared" si="109"/>
        <v>0</v>
      </c>
    </row>
    <row r="3509" spans="1:12" s="7" customFormat="1" hidden="1">
      <c r="A3509" s="1569"/>
      <c r="B3509" s="371"/>
      <c r="C3509" s="829"/>
      <c r="D3509" s="829"/>
      <c r="E3509" s="829"/>
      <c r="F3509" s="263"/>
      <c r="G3509" s="236"/>
      <c r="H3509" s="231">
        <f t="shared" si="108"/>
        <v>0</v>
      </c>
      <c r="I3509" s="231">
        <f t="shared" si="109"/>
        <v>0</v>
      </c>
    </row>
    <row r="3510" spans="1:12" s="7" customFormat="1" hidden="1">
      <c r="A3510" s="1569"/>
      <c r="B3510" s="821"/>
      <c r="C3510" s="852"/>
      <c r="D3510" s="852"/>
      <c r="E3510" s="852"/>
      <c r="F3510" s="263"/>
      <c r="G3510" s="236"/>
      <c r="H3510" s="231">
        <f t="shared" si="108"/>
        <v>0</v>
      </c>
      <c r="I3510" s="231">
        <f t="shared" si="109"/>
        <v>0</v>
      </c>
    </row>
    <row r="3511" spans="1:12" s="7" customFormat="1" hidden="1">
      <c r="A3511" s="1569"/>
      <c r="B3511" s="821"/>
      <c r="C3511" s="852"/>
      <c r="D3511" s="852"/>
      <c r="E3511" s="852"/>
      <c r="F3511" s="263"/>
      <c r="G3511" s="236"/>
      <c r="H3511" s="231">
        <f t="shared" si="108"/>
        <v>0</v>
      </c>
      <c r="I3511" s="231">
        <f t="shared" si="109"/>
        <v>0</v>
      </c>
    </row>
    <row r="3512" spans="1:12" s="7" customFormat="1" hidden="1">
      <c r="A3512" s="1569"/>
      <c r="B3512" s="821"/>
      <c r="C3512" s="852"/>
      <c r="D3512" s="852"/>
      <c r="E3512" s="852"/>
      <c r="F3512" s="263"/>
      <c r="G3512" s="236"/>
      <c r="H3512" s="231">
        <f t="shared" si="108"/>
        <v>0</v>
      </c>
      <c r="I3512" s="231">
        <f t="shared" si="109"/>
        <v>0</v>
      </c>
    </row>
    <row r="3513" spans="1:12" s="7" customFormat="1" hidden="1">
      <c r="A3513" s="1569"/>
      <c r="B3513" s="821"/>
      <c r="C3513" s="852"/>
      <c r="D3513" s="852"/>
      <c r="E3513" s="852"/>
      <c r="F3513" s="263"/>
      <c r="G3513" s="236"/>
      <c r="H3513" s="231">
        <f t="shared" si="108"/>
        <v>0</v>
      </c>
      <c r="I3513" s="231">
        <f t="shared" si="109"/>
        <v>0</v>
      </c>
    </row>
    <row r="3514" spans="1:12" s="7" customFormat="1" hidden="1">
      <c r="A3514" s="1569"/>
      <c r="B3514" s="821"/>
      <c r="C3514" s="852"/>
      <c r="D3514" s="852"/>
      <c r="E3514" s="852"/>
      <c r="F3514" s="263"/>
      <c r="G3514" s="236"/>
      <c r="H3514" s="231">
        <f t="shared" si="108"/>
        <v>0</v>
      </c>
      <c r="I3514" s="231">
        <f t="shared" si="109"/>
        <v>0</v>
      </c>
    </row>
    <row r="3515" spans="1:12" s="7" customFormat="1" hidden="1">
      <c r="A3515" s="1569"/>
      <c r="B3515" s="821"/>
      <c r="C3515" s="852"/>
      <c r="D3515" s="852"/>
      <c r="E3515" s="852"/>
      <c r="F3515" s="263"/>
      <c r="G3515" s="236"/>
      <c r="H3515" s="231">
        <f t="shared" si="108"/>
        <v>0</v>
      </c>
      <c r="I3515" s="231">
        <f t="shared" si="109"/>
        <v>0</v>
      </c>
    </row>
    <row r="3516" spans="1:12" s="7" customFormat="1" hidden="1">
      <c r="A3516" s="1569"/>
      <c r="B3516" s="371"/>
      <c r="C3516" s="844"/>
      <c r="D3516" s="862"/>
      <c r="E3516" s="862"/>
      <c r="F3516" s="263"/>
      <c r="G3516" s="236"/>
      <c r="H3516" s="231">
        <f t="shared" si="108"/>
        <v>0</v>
      </c>
      <c r="I3516" s="231">
        <f t="shared" si="109"/>
        <v>0</v>
      </c>
    </row>
    <row r="3517" spans="1:12" s="7" customFormat="1" hidden="1">
      <c r="A3517" s="1569"/>
      <c r="B3517" s="107"/>
      <c r="C3517" s="654"/>
      <c r="D3517" s="654"/>
      <c r="E3517" s="256"/>
      <c r="F3517" s="263"/>
      <c r="G3517" s="236"/>
      <c r="H3517" s="231">
        <f t="shared" si="108"/>
        <v>0</v>
      </c>
      <c r="I3517" s="231">
        <f t="shared" si="109"/>
        <v>0</v>
      </c>
    </row>
    <row r="3518" spans="1:12" s="7" customFormat="1" hidden="1">
      <c r="A3518" s="1569"/>
      <c r="B3518" s="107"/>
      <c r="C3518" s="654"/>
      <c r="D3518" s="654"/>
      <c r="E3518" s="256"/>
      <c r="F3518" s="263"/>
      <c r="G3518" s="236"/>
      <c r="H3518" s="231">
        <f t="shared" si="108"/>
        <v>0</v>
      </c>
      <c r="I3518" s="231">
        <f t="shared" si="109"/>
        <v>0</v>
      </c>
    </row>
    <row r="3519" spans="1:12" s="7" customFormat="1" hidden="1">
      <c r="A3519" s="1569"/>
      <c r="B3519" s="107"/>
      <c r="C3519" s="654"/>
      <c r="D3519" s="654"/>
      <c r="E3519" s="256"/>
      <c r="F3519" s="263"/>
      <c r="G3519" s="236"/>
      <c r="H3519" s="231">
        <f t="shared" si="108"/>
        <v>0</v>
      </c>
      <c r="I3519" s="231">
        <f t="shared" si="109"/>
        <v>0</v>
      </c>
    </row>
    <row r="3520" spans="1:12" s="7" customFormat="1" hidden="1">
      <c r="A3520" s="1569"/>
      <c r="B3520" s="107"/>
      <c r="C3520" s="654"/>
      <c r="D3520" s="654"/>
      <c r="E3520" s="256"/>
      <c r="F3520" s="263"/>
      <c r="G3520" s="236"/>
      <c r="H3520" s="231">
        <f t="shared" si="108"/>
        <v>0</v>
      </c>
      <c r="I3520" s="231">
        <f t="shared" si="109"/>
        <v>0</v>
      </c>
    </row>
    <row r="3521" spans="1:12" s="7" customFormat="1" hidden="1">
      <c r="A3521" s="1569"/>
      <c r="B3521" s="107"/>
      <c r="C3521" s="654"/>
      <c r="D3521" s="654"/>
      <c r="E3521" s="256"/>
      <c r="F3521" s="263"/>
      <c r="G3521" s="236"/>
      <c r="H3521" s="231">
        <f t="shared" si="108"/>
        <v>0</v>
      </c>
      <c r="I3521" s="231">
        <f t="shared" si="109"/>
        <v>0</v>
      </c>
    </row>
    <row r="3522" spans="1:12" s="7" customFormat="1" hidden="1">
      <c r="A3522" s="1569"/>
      <c r="B3522" s="107"/>
      <c r="C3522" s="654"/>
      <c r="D3522" s="654"/>
      <c r="E3522" s="256"/>
      <c r="F3522" s="263"/>
      <c r="G3522" s="236"/>
      <c r="H3522" s="231">
        <f t="shared" si="108"/>
        <v>0</v>
      </c>
      <c r="I3522" s="231">
        <f t="shared" si="109"/>
        <v>0</v>
      </c>
    </row>
    <row r="3523" spans="1:12" s="7" customFormat="1" hidden="1">
      <c r="A3523" s="1569"/>
      <c r="B3523" s="107"/>
      <c r="C3523" s="654"/>
      <c r="D3523" s="654"/>
      <c r="E3523" s="256"/>
      <c r="F3523" s="263"/>
      <c r="G3523" s="236"/>
      <c r="H3523" s="231">
        <f t="shared" si="108"/>
        <v>0</v>
      </c>
      <c r="I3523" s="231">
        <f t="shared" si="109"/>
        <v>0</v>
      </c>
    </row>
    <row r="3524" spans="1:12" s="7" customFormat="1" hidden="1">
      <c r="A3524" s="1569"/>
      <c r="B3524" s="107"/>
      <c r="C3524" s="654"/>
      <c r="D3524" s="654"/>
      <c r="E3524" s="256"/>
      <c r="F3524" s="263"/>
      <c r="G3524" s="236"/>
      <c r="H3524" s="231">
        <f t="shared" si="108"/>
        <v>0</v>
      </c>
      <c r="I3524" s="231">
        <f t="shared" si="109"/>
        <v>0</v>
      </c>
    </row>
    <row r="3525" spans="1:12" s="7" customFormat="1" hidden="1">
      <c r="A3525" s="1569"/>
      <c r="B3525" s="107"/>
      <c r="C3525" s="654"/>
      <c r="D3525" s="654"/>
      <c r="E3525" s="256"/>
      <c r="F3525" s="263"/>
      <c r="G3525" s="236"/>
      <c r="H3525" s="231">
        <f t="shared" si="108"/>
        <v>0</v>
      </c>
      <c r="I3525" s="231">
        <f t="shared" si="109"/>
        <v>0</v>
      </c>
    </row>
    <row r="3526" spans="1:12" s="7" customFormat="1" hidden="1">
      <c r="A3526" s="1569"/>
      <c r="B3526" s="107"/>
      <c r="C3526" s="654"/>
      <c r="D3526" s="654"/>
      <c r="E3526" s="256"/>
      <c r="F3526" s="263"/>
      <c r="G3526" s="236"/>
      <c r="H3526" s="231">
        <f t="shared" si="108"/>
        <v>0</v>
      </c>
      <c r="I3526" s="231">
        <f t="shared" si="109"/>
        <v>0</v>
      </c>
    </row>
    <row r="3527" spans="1:12" s="7" customFormat="1" hidden="1">
      <c r="A3527" s="1569"/>
      <c r="B3527" s="107"/>
      <c r="C3527" s="654"/>
      <c r="D3527" s="654"/>
      <c r="E3527" s="256"/>
      <c r="F3527" s="263"/>
      <c r="G3527" s="236"/>
      <c r="H3527" s="231">
        <f t="shared" si="108"/>
        <v>0</v>
      </c>
      <c r="I3527" s="231">
        <f t="shared" si="109"/>
        <v>0</v>
      </c>
    </row>
    <row r="3528" spans="1:12" s="7" customFormat="1" hidden="1">
      <c r="A3528" s="1569"/>
      <c r="B3528" s="107"/>
      <c r="C3528" s="654"/>
      <c r="D3528" s="654"/>
      <c r="E3528" s="256"/>
      <c r="F3528" s="263"/>
      <c r="G3528" s="236"/>
      <c r="H3528" s="231">
        <f t="shared" si="108"/>
        <v>0</v>
      </c>
      <c r="I3528" s="231">
        <f t="shared" si="109"/>
        <v>0</v>
      </c>
    </row>
    <row r="3529" spans="1:12" s="7" customFormat="1" hidden="1">
      <c r="A3529" s="1569"/>
      <c r="B3529" s="107"/>
      <c r="C3529" s="654"/>
      <c r="D3529" s="654"/>
      <c r="E3529" s="256"/>
      <c r="F3529" s="263"/>
      <c r="G3529" s="236"/>
      <c r="H3529" s="231">
        <f t="shared" ref="H3529:H3592" si="110">E3529+D3529-C3529</f>
        <v>0</v>
      </c>
      <c r="I3529" s="231">
        <f t="shared" ref="I3529:I3592" si="111">SUM(C3529:E3529)</f>
        <v>0</v>
      </c>
    </row>
    <row r="3530" spans="1:12" s="7" customFormat="1" hidden="1">
      <c r="A3530" s="1569"/>
      <c r="B3530" s="107"/>
      <c r="C3530" s="654"/>
      <c r="D3530" s="654"/>
      <c r="E3530" s="256"/>
      <c r="F3530" s="263"/>
      <c r="G3530" s="236"/>
      <c r="H3530" s="231">
        <f t="shared" si="110"/>
        <v>0</v>
      </c>
      <c r="I3530" s="231">
        <f t="shared" si="111"/>
        <v>0</v>
      </c>
    </row>
    <row r="3531" spans="1:12" s="7" customFormat="1" hidden="1">
      <c r="A3531" s="1569"/>
      <c r="B3531" s="107"/>
      <c r="C3531" s="654"/>
      <c r="D3531" s="654"/>
      <c r="E3531" s="256"/>
      <c r="F3531" s="263"/>
      <c r="G3531" s="236"/>
      <c r="H3531" s="231">
        <f t="shared" si="110"/>
        <v>0</v>
      </c>
      <c r="I3531" s="231">
        <f t="shared" si="111"/>
        <v>0</v>
      </c>
    </row>
    <row r="3532" spans="1:12" s="7" customFormat="1" hidden="1">
      <c r="A3532" s="1569"/>
      <c r="B3532" s="107"/>
      <c r="C3532" s="654"/>
      <c r="D3532" s="654"/>
      <c r="E3532" s="256"/>
      <c r="F3532" s="263"/>
      <c r="G3532" s="236"/>
      <c r="H3532" s="231">
        <f t="shared" si="110"/>
        <v>0</v>
      </c>
      <c r="I3532" s="231">
        <f t="shared" si="111"/>
        <v>0</v>
      </c>
    </row>
    <row r="3533" spans="1:12" s="7" customFormat="1" hidden="1">
      <c r="A3533" s="1569"/>
      <c r="B3533" s="107"/>
      <c r="C3533" s="654"/>
      <c r="D3533" s="654"/>
      <c r="E3533" s="256"/>
      <c r="F3533" s="263"/>
      <c r="G3533" s="236"/>
      <c r="H3533" s="231">
        <f t="shared" si="110"/>
        <v>0</v>
      </c>
      <c r="I3533" s="231">
        <f t="shared" si="111"/>
        <v>0</v>
      </c>
    </row>
    <row r="3534" spans="1:12" s="7" customFormat="1" hidden="1">
      <c r="A3534" s="1569"/>
      <c r="B3534" s="107"/>
      <c r="C3534" s="654"/>
      <c r="D3534" s="654"/>
      <c r="E3534" s="256"/>
      <c r="F3534" s="263"/>
      <c r="G3534" s="236"/>
      <c r="H3534" s="231">
        <f t="shared" si="110"/>
        <v>0</v>
      </c>
      <c r="I3534" s="231">
        <f t="shared" si="111"/>
        <v>0</v>
      </c>
    </row>
    <row r="3535" spans="1:12" s="7" customFormat="1">
      <c r="A3535" s="1659"/>
      <c r="B3535" s="209" t="s">
        <v>985</v>
      </c>
      <c r="C3535" s="581">
        <f>SUM(C3501:C3534)</f>
        <v>105810</v>
      </c>
      <c r="D3535" s="581">
        <f>SUM(D3501:D3534)</f>
        <v>57000</v>
      </c>
      <c r="E3535" s="581">
        <f>SUM(E3501:E3534)</f>
        <v>48810</v>
      </c>
      <c r="F3535" s="263"/>
      <c r="G3535" s="236"/>
      <c r="H3535" s="1497">
        <f t="shared" si="110"/>
        <v>0</v>
      </c>
      <c r="I3535" s="1497">
        <f t="shared" si="111"/>
        <v>211620</v>
      </c>
      <c r="J3535" s="1435"/>
      <c r="K3535" s="1491"/>
      <c r="L3535" s="1491"/>
    </row>
    <row r="3536" spans="1:12" s="7" customFormat="1" ht="112.5">
      <c r="A3536" s="1568" t="s">
        <v>1120</v>
      </c>
      <c r="B3536" s="107" t="s">
        <v>773</v>
      </c>
      <c r="C3536" s="589">
        <v>75000</v>
      </c>
      <c r="D3536" s="589"/>
      <c r="E3536" s="510">
        <v>75000</v>
      </c>
      <c r="F3536" s="263"/>
      <c r="G3536" s="236"/>
      <c r="H3536" s="1497">
        <f t="shared" si="110"/>
        <v>0</v>
      </c>
      <c r="I3536" s="1497">
        <f t="shared" si="111"/>
        <v>150000</v>
      </c>
      <c r="J3536" s="1435"/>
      <c r="K3536" s="1491"/>
      <c r="L3536" s="1491"/>
    </row>
    <row r="3537" spans="1:12" s="7" customFormat="1" ht="37.5">
      <c r="A3537" s="1569"/>
      <c r="B3537" s="1215" t="s">
        <v>1451</v>
      </c>
      <c r="C3537" s="1214">
        <v>60000</v>
      </c>
      <c r="D3537" s="256">
        <v>60000</v>
      </c>
      <c r="E3537" s="256"/>
      <c r="F3537" s="263"/>
      <c r="G3537" s="236"/>
      <c r="H3537" s="1497">
        <f t="shared" si="110"/>
        <v>0</v>
      </c>
      <c r="I3537" s="1497">
        <f t="shared" si="111"/>
        <v>120000</v>
      </c>
      <c r="J3537" s="1435"/>
      <c r="K3537" s="1491"/>
      <c r="L3537" s="1491"/>
    </row>
    <row r="3538" spans="1:12" s="7" customFormat="1" ht="56.25">
      <c r="A3538" s="1569"/>
      <c r="B3538" s="1215" t="s">
        <v>1452</v>
      </c>
      <c r="C3538" s="1214">
        <v>30000</v>
      </c>
      <c r="D3538" s="256">
        <v>30000</v>
      </c>
      <c r="E3538" s="256"/>
      <c r="F3538" s="263"/>
      <c r="G3538" s="236"/>
      <c r="H3538" s="1497">
        <f t="shared" si="110"/>
        <v>0</v>
      </c>
      <c r="I3538" s="1497">
        <f t="shared" si="111"/>
        <v>60000</v>
      </c>
      <c r="J3538" s="1435"/>
      <c r="K3538" s="1491"/>
      <c r="L3538" s="1491"/>
    </row>
    <row r="3539" spans="1:12" s="7" customFormat="1" ht="56.25">
      <c r="A3539" s="1569"/>
      <c r="B3539" s="425" t="s">
        <v>1813</v>
      </c>
      <c r="C3539" s="1227">
        <v>12000</v>
      </c>
      <c r="D3539" s="1227"/>
      <c r="E3539" s="1227">
        <v>12000</v>
      </c>
      <c r="F3539" s="263"/>
      <c r="G3539" s="236"/>
      <c r="H3539" s="1497">
        <f t="shared" si="110"/>
        <v>0</v>
      </c>
      <c r="I3539" s="1497">
        <f t="shared" si="111"/>
        <v>24000</v>
      </c>
      <c r="J3539" s="1435"/>
      <c r="K3539" s="1491"/>
      <c r="L3539" s="1491"/>
    </row>
    <row r="3540" spans="1:12" s="7" customFormat="1" ht="75">
      <c r="A3540" s="1569"/>
      <c r="B3540" s="425" t="s">
        <v>1814</v>
      </c>
      <c r="C3540" s="1227">
        <v>5000</v>
      </c>
      <c r="D3540" s="1227">
        <v>5000</v>
      </c>
      <c r="E3540" s="1227"/>
      <c r="F3540" s="263"/>
      <c r="G3540" s="236"/>
      <c r="H3540" s="1497">
        <f t="shared" si="110"/>
        <v>0</v>
      </c>
      <c r="I3540" s="1497">
        <f t="shared" si="111"/>
        <v>10000</v>
      </c>
      <c r="J3540" s="1435"/>
      <c r="K3540" s="1491"/>
      <c r="L3540" s="1491"/>
    </row>
    <row r="3541" spans="1:12" s="7" customFormat="1" ht="56.25">
      <c r="A3541" s="1569"/>
      <c r="B3541" s="107" t="s">
        <v>1815</v>
      </c>
      <c r="C3541" s="817">
        <v>2000</v>
      </c>
      <c r="D3541" s="817">
        <v>2000</v>
      </c>
      <c r="E3541" s="184"/>
      <c r="F3541" s="263"/>
      <c r="G3541" s="236"/>
      <c r="H3541" s="1497">
        <f t="shared" si="110"/>
        <v>0</v>
      </c>
      <c r="I3541" s="1497">
        <f t="shared" si="111"/>
        <v>4000</v>
      </c>
      <c r="J3541" s="1435"/>
      <c r="K3541" s="1491"/>
      <c r="L3541" s="1491"/>
    </row>
    <row r="3542" spans="1:12" s="7" customFormat="1" ht="56.25">
      <c r="A3542" s="1569"/>
      <c r="B3542" s="107" t="s">
        <v>1816</v>
      </c>
      <c r="C3542" s="817">
        <v>10000</v>
      </c>
      <c r="D3542" s="817">
        <v>10000</v>
      </c>
      <c r="E3542" s="184"/>
      <c r="F3542" s="263"/>
      <c r="G3542" s="236"/>
      <c r="H3542" s="1497">
        <f t="shared" si="110"/>
        <v>0</v>
      </c>
      <c r="I3542" s="1497">
        <f t="shared" si="111"/>
        <v>20000</v>
      </c>
      <c r="J3542" s="1435"/>
      <c r="K3542" s="1491"/>
      <c r="L3542" s="1491"/>
    </row>
    <row r="3543" spans="1:12" s="7" customFormat="1" ht="56.25">
      <c r="A3543" s="1569"/>
      <c r="B3543" s="107" t="s">
        <v>1817</v>
      </c>
      <c r="C3543" s="817">
        <v>10000</v>
      </c>
      <c r="D3543" s="817">
        <v>10000</v>
      </c>
      <c r="E3543" s="184"/>
      <c r="F3543" s="263"/>
      <c r="G3543" s="236"/>
      <c r="H3543" s="1497">
        <f t="shared" si="110"/>
        <v>0</v>
      </c>
      <c r="I3543" s="1497">
        <f t="shared" si="111"/>
        <v>20000</v>
      </c>
      <c r="J3543" s="1435"/>
      <c r="K3543" s="1491"/>
      <c r="L3543" s="1491"/>
    </row>
    <row r="3544" spans="1:12" s="7" customFormat="1" ht="37.5">
      <c r="A3544" s="1569"/>
      <c r="B3544" s="107" t="s">
        <v>1818</v>
      </c>
      <c r="C3544" s="817">
        <v>12000</v>
      </c>
      <c r="D3544" s="817">
        <v>12000</v>
      </c>
      <c r="E3544" s="184"/>
      <c r="F3544" s="263"/>
      <c r="G3544" s="236"/>
      <c r="H3544" s="1497">
        <f t="shared" si="110"/>
        <v>0</v>
      </c>
      <c r="I3544" s="1497">
        <f t="shared" si="111"/>
        <v>24000</v>
      </c>
      <c r="J3544" s="1435"/>
      <c r="K3544" s="1491"/>
      <c r="L3544" s="1491"/>
    </row>
    <row r="3545" spans="1:12" s="7" customFormat="1" ht="56.25">
      <c r="A3545" s="1569"/>
      <c r="B3545" s="107" t="s">
        <v>1819</v>
      </c>
      <c r="C3545" s="817">
        <v>10000</v>
      </c>
      <c r="D3545" s="817">
        <v>10000</v>
      </c>
      <c r="E3545" s="184"/>
      <c r="F3545" s="263"/>
      <c r="G3545" s="236"/>
      <c r="H3545" s="1497">
        <f t="shared" si="110"/>
        <v>0</v>
      </c>
      <c r="I3545" s="1497">
        <f t="shared" si="111"/>
        <v>20000</v>
      </c>
      <c r="J3545" s="1435"/>
      <c r="K3545" s="1491"/>
      <c r="L3545" s="1491"/>
    </row>
    <row r="3546" spans="1:12" s="7" customFormat="1" ht="75">
      <c r="A3546" s="1569"/>
      <c r="B3546" s="107" t="s">
        <v>1820</v>
      </c>
      <c r="C3546" s="817">
        <v>10000</v>
      </c>
      <c r="D3546" s="817"/>
      <c r="E3546" s="184">
        <v>10000</v>
      </c>
      <c r="F3546" s="263"/>
      <c r="G3546" s="236"/>
      <c r="H3546" s="1497">
        <f t="shared" si="110"/>
        <v>0</v>
      </c>
      <c r="I3546" s="1497">
        <f t="shared" si="111"/>
        <v>20000</v>
      </c>
      <c r="J3546" s="1435"/>
      <c r="K3546" s="1491"/>
      <c r="L3546" s="1491"/>
    </row>
    <row r="3547" spans="1:12" s="7" customFormat="1" ht="75">
      <c r="A3547" s="1569"/>
      <c r="B3547" s="107" t="s">
        <v>1821</v>
      </c>
      <c r="C3547" s="817">
        <v>10000</v>
      </c>
      <c r="D3547" s="817"/>
      <c r="E3547" s="184">
        <v>10000</v>
      </c>
      <c r="F3547" s="263"/>
      <c r="G3547" s="236"/>
      <c r="H3547" s="1497">
        <f t="shared" si="110"/>
        <v>0</v>
      </c>
      <c r="I3547" s="1497">
        <f t="shared" si="111"/>
        <v>20000</v>
      </c>
      <c r="J3547" s="1435"/>
      <c r="K3547" s="1491"/>
      <c r="L3547" s="1491"/>
    </row>
    <row r="3548" spans="1:12" s="7" customFormat="1" ht="56.25">
      <c r="A3548" s="1569"/>
      <c r="B3548" s="107" t="s">
        <v>1822</v>
      </c>
      <c r="C3548" s="817">
        <v>10000</v>
      </c>
      <c r="D3548" s="817"/>
      <c r="E3548" s="184">
        <v>10000</v>
      </c>
      <c r="F3548" s="263"/>
      <c r="G3548" s="236"/>
      <c r="H3548" s="1497">
        <f t="shared" si="110"/>
        <v>0</v>
      </c>
      <c r="I3548" s="1497">
        <f t="shared" si="111"/>
        <v>20000</v>
      </c>
      <c r="J3548" s="1435"/>
      <c r="K3548" s="1491"/>
      <c r="L3548" s="1491"/>
    </row>
    <row r="3549" spans="1:12" s="7" customFormat="1" ht="56.25">
      <c r="A3549" s="1569"/>
      <c r="B3549" s="107" t="s">
        <v>1823</v>
      </c>
      <c r="C3549" s="817">
        <v>6000</v>
      </c>
      <c r="D3549" s="817">
        <v>6000</v>
      </c>
      <c r="E3549" s="184"/>
      <c r="F3549" s="263"/>
      <c r="G3549" s="236"/>
      <c r="H3549" s="1497">
        <f t="shared" si="110"/>
        <v>0</v>
      </c>
      <c r="I3549" s="1497">
        <f t="shared" si="111"/>
        <v>12000</v>
      </c>
      <c r="J3549" s="1435"/>
      <c r="K3549" s="1491"/>
      <c r="L3549" s="1491"/>
    </row>
    <row r="3550" spans="1:12" s="7" customFormat="1" ht="37.5">
      <c r="A3550" s="1569"/>
      <c r="B3550" s="107" t="s">
        <v>1824</v>
      </c>
      <c r="C3550" s="817">
        <v>4000</v>
      </c>
      <c r="D3550" s="817">
        <v>4000</v>
      </c>
      <c r="E3550" s="184"/>
      <c r="F3550" s="263"/>
      <c r="G3550" s="236"/>
      <c r="H3550" s="1497">
        <f t="shared" si="110"/>
        <v>0</v>
      </c>
      <c r="I3550" s="1497">
        <f t="shared" si="111"/>
        <v>8000</v>
      </c>
      <c r="J3550" s="1435"/>
      <c r="K3550" s="1491"/>
      <c r="L3550" s="1491"/>
    </row>
    <row r="3551" spans="1:12" s="7" customFormat="1" ht="56.25">
      <c r="A3551" s="1569"/>
      <c r="B3551" s="107" t="s">
        <v>1825</v>
      </c>
      <c r="C3551" s="817">
        <v>3000</v>
      </c>
      <c r="D3551" s="817">
        <v>3000</v>
      </c>
      <c r="E3551" s="184"/>
      <c r="F3551" s="263"/>
      <c r="G3551" s="236"/>
      <c r="H3551" s="1497">
        <f t="shared" si="110"/>
        <v>0</v>
      </c>
      <c r="I3551" s="1497">
        <f t="shared" si="111"/>
        <v>6000</v>
      </c>
      <c r="J3551" s="1435"/>
      <c r="K3551" s="1491"/>
      <c r="L3551" s="1491"/>
    </row>
    <row r="3552" spans="1:12" s="7" customFormat="1" ht="75">
      <c r="A3552" s="1569"/>
      <c r="B3552" s="107" t="s">
        <v>1826</v>
      </c>
      <c r="C3552" s="184">
        <v>18332</v>
      </c>
      <c r="D3552" s="184"/>
      <c r="E3552" s="184">
        <v>18332</v>
      </c>
      <c r="F3552" s="263"/>
      <c r="G3552" s="236"/>
      <c r="H3552" s="1497">
        <f t="shared" si="110"/>
        <v>0</v>
      </c>
      <c r="I3552" s="1497">
        <f t="shared" si="111"/>
        <v>36664</v>
      </c>
      <c r="J3552" s="1435"/>
      <c r="K3552" s="1491"/>
      <c r="L3552" s="1491"/>
    </row>
    <row r="3553" spans="1:9" s="7" customFormat="1" hidden="1">
      <c r="A3553" s="1569"/>
      <c r="B3553" s="821"/>
      <c r="C3553" s="852"/>
      <c r="D3553" s="852"/>
      <c r="E3553" s="852"/>
      <c r="F3553" s="263"/>
      <c r="G3553" s="236"/>
      <c r="H3553" s="231">
        <f t="shared" si="110"/>
        <v>0</v>
      </c>
      <c r="I3553" s="231">
        <f t="shared" si="111"/>
        <v>0</v>
      </c>
    </row>
    <row r="3554" spans="1:9" s="7" customFormat="1" hidden="1">
      <c r="A3554" s="1569"/>
      <c r="B3554" s="821"/>
      <c r="C3554" s="852"/>
      <c r="D3554" s="852"/>
      <c r="E3554" s="852"/>
      <c r="F3554" s="263"/>
      <c r="G3554" s="236"/>
      <c r="H3554" s="231">
        <f t="shared" si="110"/>
        <v>0</v>
      </c>
      <c r="I3554" s="231">
        <f t="shared" si="111"/>
        <v>0</v>
      </c>
    </row>
    <row r="3555" spans="1:9" s="7" customFormat="1" hidden="1">
      <c r="A3555" s="1569"/>
      <c r="B3555" s="821"/>
      <c r="C3555" s="852"/>
      <c r="D3555" s="852"/>
      <c r="E3555" s="852"/>
      <c r="F3555" s="263"/>
      <c r="G3555" s="236"/>
      <c r="H3555" s="231">
        <f t="shared" si="110"/>
        <v>0</v>
      </c>
      <c r="I3555" s="231">
        <f t="shared" si="111"/>
        <v>0</v>
      </c>
    </row>
    <row r="3556" spans="1:9" s="7" customFormat="1" hidden="1">
      <c r="A3556" s="1569"/>
      <c r="B3556" s="821"/>
      <c r="C3556" s="852"/>
      <c r="D3556" s="852"/>
      <c r="E3556" s="852"/>
      <c r="F3556" s="263"/>
      <c r="G3556" s="236"/>
      <c r="H3556" s="231">
        <f t="shared" si="110"/>
        <v>0</v>
      </c>
      <c r="I3556" s="231">
        <f t="shared" si="111"/>
        <v>0</v>
      </c>
    </row>
    <row r="3557" spans="1:9" s="7" customFormat="1" hidden="1">
      <c r="A3557" s="1569"/>
      <c r="B3557" s="821"/>
      <c r="C3557" s="844"/>
      <c r="D3557" s="853"/>
      <c r="E3557" s="853"/>
      <c r="F3557" s="263"/>
      <c r="G3557" s="236"/>
      <c r="H3557" s="231">
        <f t="shared" si="110"/>
        <v>0</v>
      </c>
      <c r="I3557" s="231">
        <f t="shared" si="111"/>
        <v>0</v>
      </c>
    </row>
    <row r="3558" spans="1:9" s="7" customFormat="1" hidden="1">
      <c r="A3558" s="1569"/>
      <c r="B3558" s="821"/>
      <c r="C3558" s="844"/>
      <c r="D3558" s="844"/>
      <c r="E3558" s="853"/>
      <c r="F3558" s="263"/>
      <c r="G3558" s="236"/>
      <c r="H3558" s="231">
        <f t="shared" si="110"/>
        <v>0</v>
      </c>
      <c r="I3558" s="231">
        <f t="shared" si="111"/>
        <v>0</v>
      </c>
    </row>
    <row r="3559" spans="1:9" s="7" customFormat="1" hidden="1">
      <c r="A3559" s="1569"/>
      <c r="B3559" s="371"/>
      <c r="C3559" s="844"/>
      <c r="D3559" s="853"/>
      <c r="E3559" s="844"/>
      <c r="F3559" s="263"/>
      <c r="G3559" s="236"/>
      <c r="H3559" s="231">
        <f t="shared" si="110"/>
        <v>0</v>
      </c>
      <c r="I3559" s="231">
        <f t="shared" si="111"/>
        <v>0</v>
      </c>
    </row>
    <row r="3560" spans="1:9" s="7" customFormat="1" hidden="1">
      <c r="A3560" s="1569"/>
      <c r="B3560" s="371"/>
      <c r="C3560" s="850"/>
      <c r="D3560" s="850"/>
      <c r="E3560" s="854"/>
      <c r="F3560" s="263"/>
      <c r="G3560" s="236"/>
      <c r="H3560" s="231">
        <f t="shared" si="110"/>
        <v>0</v>
      </c>
      <c r="I3560" s="231">
        <f t="shared" si="111"/>
        <v>0</v>
      </c>
    </row>
    <row r="3561" spans="1:9" hidden="1">
      <c r="A3561" s="1569"/>
      <c r="B3561" s="371"/>
      <c r="C3561" s="844"/>
      <c r="D3561" s="845"/>
      <c r="E3561" s="855"/>
      <c r="F3561" s="267" t="e">
        <f>F191+F318+F434+F474+F562+F615+F675+F724+F765+F819+F880+F919+F999+F1099+F1166+F1265+F1387+F1457+F1535+F1584+F1781+F1876+F1970+F2047+F2133+F2212+F2353+F2425+F2432+F2438+F2539+#REF!+#REF!+#REF!+#REF!+#REF!+#REF!+#REF!+#REF!+#REF!+#REF!+#REF!+#REF!+#REF!+#REF!+#REF!+#REF!+#REF!+F2586</f>
        <v>#REF!</v>
      </c>
      <c r="G3561" s="233" t="e">
        <f>G191+G318+G434+G474+G562+G615+G675+G724+G765+G819+G880+G919+G999+G1099+G1166+G1265+G1387+G1457+G1535+G1584+G1781+G1876+G1970+G2047+G2133+G2212+G2353+G2425+G2432+G2438+G2539+#REF!+#REF!+#REF!+#REF!+#REF!+#REF!+#REF!+#REF!+#REF!+#REF!+#REF!+#REF!+#REF!+#REF!+#REF!+#REF!+#REF!+G2586</f>
        <v>#REF!</v>
      </c>
      <c r="H3561" s="231">
        <f t="shared" si="110"/>
        <v>0</v>
      </c>
      <c r="I3561" s="231">
        <f t="shared" si="111"/>
        <v>0</v>
      </c>
    </row>
    <row r="3562" spans="1:9" s="7" customFormat="1" hidden="1">
      <c r="A3562" s="1569"/>
      <c r="B3562" s="107"/>
      <c r="C3562" s="654"/>
      <c r="D3562" s="654"/>
      <c r="E3562" s="256"/>
      <c r="F3562" s="243"/>
      <c r="G3562" s="243"/>
      <c r="H3562" s="231">
        <f t="shared" si="110"/>
        <v>0</v>
      </c>
      <c r="I3562" s="231">
        <f t="shared" si="111"/>
        <v>0</v>
      </c>
    </row>
    <row r="3563" spans="1:9" s="7" customFormat="1" hidden="1">
      <c r="A3563" s="1569"/>
      <c r="B3563" s="107"/>
      <c r="C3563" s="654"/>
      <c r="D3563" s="654"/>
      <c r="E3563" s="256"/>
      <c r="F3563" s="232"/>
      <c r="G3563" s="232"/>
      <c r="H3563" s="231">
        <f t="shared" si="110"/>
        <v>0</v>
      </c>
      <c r="I3563" s="231">
        <f t="shared" si="111"/>
        <v>0</v>
      </c>
    </row>
    <row r="3564" spans="1:9" s="7" customFormat="1" ht="90" hidden="1" customHeight="1">
      <c r="A3564" s="1569"/>
      <c r="B3564" s="107"/>
      <c r="C3564" s="654"/>
      <c r="D3564" s="654"/>
      <c r="E3564" s="256"/>
      <c r="F3564" s="232"/>
      <c r="G3564" s="232"/>
      <c r="H3564" s="231">
        <f t="shared" si="110"/>
        <v>0</v>
      </c>
      <c r="I3564" s="231">
        <f t="shared" si="111"/>
        <v>0</v>
      </c>
    </row>
    <row r="3565" spans="1:9" hidden="1">
      <c r="A3565" s="1569"/>
      <c r="B3565" s="107"/>
      <c r="C3565" s="654"/>
      <c r="D3565" s="654"/>
      <c r="E3565" s="256"/>
      <c r="F3565" s="232"/>
      <c r="G3565" s="232"/>
      <c r="H3565" s="231">
        <f t="shared" si="110"/>
        <v>0</v>
      </c>
      <c r="I3565" s="231">
        <f t="shared" si="111"/>
        <v>0</v>
      </c>
    </row>
    <row r="3566" spans="1:9" hidden="1">
      <c r="A3566" s="1569"/>
      <c r="B3566" s="107"/>
      <c r="C3566" s="654"/>
      <c r="D3566" s="654"/>
      <c r="E3566" s="256"/>
      <c r="F3566" s="232"/>
      <c r="G3566" s="232"/>
      <c r="H3566" s="231">
        <f t="shared" si="110"/>
        <v>0</v>
      </c>
      <c r="I3566" s="231">
        <f t="shared" si="111"/>
        <v>0</v>
      </c>
    </row>
    <row r="3567" spans="1:9" hidden="1">
      <c r="A3567" s="1569"/>
      <c r="B3567" s="107"/>
      <c r="C3567" s="654"/>
      <c r="D3567" s="654"/>
      <c r="E3567" s="256"/>
      <c r="F3567" s="232"/>
      <c r="G3567" s="232"/>
      <c r="H3567" s="231">
        <f t="shared" si="110"/>
        <v>0</v>
      </c>
      <c r="I3567" s="231">
        <f t="shared" si="111"/>
        <v>0</v>
      </c>
    </row>
    <row r="3568" spans="1:9" hidden="1">
      <c r="A3568" s="1569"/>
      <c r="B3568" s="107"/>
      <c r="C3568" s="654"/>
      <c r="D3568" s="654"/>
      <c r="E3568" s="256"/>
      <c r="H3568" s="231">
        <f t="shared" si="110"/>
        <v>0</v>
      </c>
      <c r="I3568" s="231">
        <f t="shared" si="111"/>
        <v>0</v>
      </c>
    </row>
    <row r="3569" spans="1:12" hidden="1">
      <c r="A3569" s="1569"/>
      <c r="B3569" s="107"/>
      <c r="C3569" s="654"/>
      <c r="D3569" s="654"/>
      <c r="E3569" s="256"/>
      <c r="G3569" s="8"/>
      <c r="H3569" s="231">
        <f t="shared" si="110"/>
        <v>0</v>
      </c>
      <c r="I3569" s="231">
        <f t="shared" si="111"/>
        <v>0</v>
      </c>
    </row>
    <row r="3570" spans="1:12">
      <c r="A3570" s="1659"/>
      <c r="B3570" s="209" t="s">
        <v>985</v>
      </c>
      <c r="C3570" s="581">
        <f>SUM(C3536:C3569)</f>
        <v>287332</v>
      </c>
      <c r="D3570" s="581">
        <f>SUM(D3536:D3569)</f>
        <v>152000</v>
      </c>
      <c r="E3570" s="581">
        <f>SUM(E3536:E3569)</f>
        <v>135332</v>
      </c>
      <c r="H3570" s="1497">
        <f t="shared" si="110"/>
        <v>0</v>
      </c>
      <c r="I3570" s="1497">
        <f t="shared" si="111"/>
        <v>574664</v>
      </c>
      <c r="J3570" s="1440"/>
      <c r="K3570" s="1490"/>
      <c r="L3570" s="1490"/>
    </row>
    <row r="3571" spans="1:12" hidden="1">
      <c r="A3571" s="1568" t="s">
        <v>646</v>
      </c>
      <c r="B3571" s="371"/>
      <c r="C3571" s="851"/>
      <c r="D3571" s="851"/>
      <c r="E3571" s="852"/>
      <c r="H3571" s="231">
        <f t="shared" si="110"/>
        <v>0</v>
      </c>
      <c r="I3571" s="231">
        <f t="shared" si="111"/>
        <v>0</v>
      </c>
    </row>
    <row r="3572" spans="1:12" hidden="1">
      <c r="A3572" s="1569"/>
      <c r="B3572" s="371"/>
      <c r="C3572" s="851"/>
      <c r="D3572" s="851"/>
      <c r="E3572" s="852"/>
      <c r="H3572" s="231">
        <f t="shared" si="110"/>
        <v>0</v>
      </c>
      <c r="I3572" s="231">
        <f t="shared" si="111"/>
        <v>0</v>
      </c>
    </row>
    <row r="3573" spans="1:12" hidden="1">
      <c r="A3573" s="1569"/>
      <c r="B3573" s="181"/>
      <c r="C3573" s="654"/>
      <c r="D3573" s="654"/>
      <c r="E3573" s="655"/>
      <c r="H3573" s="231">
        <f t="shared" si="110"/>
        <v>0</v>
      </c>
      <c r="I3573" s="231">
        <f t="shared" si="111"/>
        <v>0</v>
      </c>
    </row>
    <row r="3574" spans="1:12" s="85" customFormat="1" hidden="1">
      <c r="A3574" s="1569"/>
      <c r="B3574" s="181"/>
      <c r="C3574" s="654"/>
      <c r="D3574" s="654"/>
      <c r="E3574" s="655"/>
      <c r="H3574" s="231">
        <f t="shared" si="110"/>
        <v>0</v>
      </c>
      <c r="I3574" s="231">
        <f t="shared" si="111"/>
        <v>0</v>
      </c>
    </row>
    <row r="3575" spans="1:12" s="7" customFormat="1" hidden="1">
      <c r="A3575" s="1569"/>
      <c r="B3575" s="107"/>
      <c r="C3575" s="654"/>
      <c r="D3575" s="654"/>
      <c r="E3575" s="654"/>
      <c r="H3575" s="231">
        <f t="shared" si="110"/>
        <v>0</v>
      </c>
      <c r="I3575" s="231">
        <f t="shared" si="111"/>
        <v>0</v>
      </c>
    </row>
    <row r="3576" spans="1:12" s="7" customFormat="1" hidden="1">
      <c r="A3576" s="1569"/>
      <c r="B3576" s="116"/>
      <c r="C3576" s="679"/>
      <c r="D3576" s="679"/>
      <c r="E3576" s="654"/>
      <c r="H3576" s="231">
        <f t="shared" si="110"/>
        <v>0</v>
      </c>
      <c r="I3576" s="231">
        <f t="shared" si="111"/>
        <v>0</v>
      </c>
    </row>
    <row r="3577" spans="1:12" s="7" customFormat="1" hidden="1">
      <c r="A3577" s="1569"/>
      <c r="B3577" s="107"/>
      <c r="C3577" s="654"/>
      <c r="D3577" s="654"/>
      <c r="E3577" s="654"/>
      <c r="H3577" s="231">
        <f t="shared" si="110"/>
        <v>0</v>
      </c>
      <c r="I3577" s="231">
        <f t="shared" si="111"/>
        <v>0</v>
      </c>
    </row>
    <row r="3578" spans="1:12" s="7" customFormat="1" hidden="1">
      <c r="A3578" s="1569"/>
      <c r="B3578" s="116"/>
      <c r="C3578" s="679"/>
      <c r="D3578" s="679"/>
      <c r="E3578" s="679"/>
      <c r="H3578" s="231">
        <f t="shared" si="110"/>
        <v>0</v>
      </c>
      <c r="I3578" s="231">
        <f t="shared" si="111"/>
        <v>0</v>
      </c>
    </row>
    <row r="3579" spans="1:12" s="7" customFormat="1" hidden="1">
      <c r="A3579" s="1569"/>
      <c r="B3579" s="116"/>
      <c r="C3579" s="679"/>
      <c r="D3579" s="679"/>
      <c r="E3579" s="654"/>
      <c r="H3579" s="231">
        <f t="shared" si="110"/>
        <v>0</v>
      </c>
      <c r="I3579" s="231">
        <f t="shared" si="111"/>
        <v>0</v>
      </c>
    </row>
    <row r="3580" spans="1:12" s="7" customFormat="1" hidden="1">
      <c r="A3580" s="1569"/>
      <c r="B3580" s="107"/>
      <c r="C3580" s="654"/>
      <c r="D3580" s="654"/>
      <c r="E3580" s="654"/>
      <c r="H3580" s="231">
        <f t="shared" si="110"/>
        <v>0</v>
      </c>
      <c r="I3580" s="231">
        <f t="shared" si="111"/>
        <v>0</v>
      </c>
    </row>
    <row r="3581" spans="1:12" s="7" customFormat="1" hidden="1">
      <c r="A3581" s="1569"/>
      <c r="B3581" s="107"/>
      <c r="C3581" s="654"/>
      <c r="D3581" s="654"/>
      <c r="E3581" s="256"/>
      <c r="H3581" s="231">
        <f t="shared" si="110"/>
        <v>0</v>
      </c>
      <c r="I3581" s="231">
        <f t="shared" si="111"/>
        <v>0</v>
      </c>
    </row>
    <row r="3582" spans="1:12" s="7" customFormat="1" hidden="1">
      <c r="A3582" s="1569"/>
      <c r="B3582" s="107"/>
      <c r="C3582" s="654"/>
      <c r="D3582" s="654"/>
      <c r="E3582" s="256"/>
      <c r="H3582" s="231">
        <f t="shared" si="110"/>
        <v>0</v>
      </c>
      <c r="I3582" s="231">
        <f t="shared" si="111"/>
        <v>0</v>
      </c>
    </row>
    <row r="3583" spans="1:12" s="7" customFormat="1" hidden="1">
      <c r="A3583" s="1569"/>
      <c r="B3583" s="107"/>
      <c r="C3583" s="654"/>
      <c r="D3583" s="654"/>
      <c r="E3583" s="256"/>
      <c r="H3583" s="231">
        <f t="shared" si="110"/>
        <v>0</v>
      </c>
      <c r="I3583" s="231">
        <f t="shared" si="111"/>
        <v>0</v>
      </c>
    </row>
    <row r="3584" spans="1:12" s="7" customFormat="1" hidden="1">
      <c r="A3584" s="1569"/>
      <c r="B3584" s="107"/>
      <c r="C3584" s="654"/>
      <c r="D3584" s="654"/>
      <c r="E3584" s="256"/>
      <c r="H3584" s="231">
        <f t="shared" si="110"/>
        <v>0</v>
      </c>
      <c r="I3584" s="231">
        <f t="shared" si="111"/>
        <v>0</v>
      </c>
    </row>
    <row r="3585" spans="1:9" s="7" customFormat="1" hidden="1">
      <c r="A3585" s="1569"/>
      <c r="B3585" s="116"/>
      <c r="C3585" s="679"/>
      <c r="D3585" s="679"/>
      <c r="E3585" s="256"/>
      <c r="H3585" s="231">
        <f t="shared" si="110"/>
        <v>0</v>
      </c>
      <c r="I3585" s="231">
        <f t="shared" si="111"/>
        <v>0</v>
      </c>
    </row>
    <row r="3586" spans="1:9" s="7" customFormat="1" hidden="1">
      <c r="A3586" s="1569"/>
      <c r="B3586" s="107"/>
      <c r="C3586" s="654"/>
      <c r="D3586" s="654"/>
      <c r="E3586" s="256"/>
      <c r="H3586" s="231">
        <f t="shared" si="110"/>
        <v>0</v>
      </c>
      <c r="I3586" s="231">
        <f t="shared" si="111"/>
        <v>0</v>
      </c>
    </row>
    <row r="3587" spans="1:9" s="7" customFormat="1" hidden="1">
      <c r="A3587" s="1569"/>
      <c r="B3587" s="107"/>
      <c r="C3587" s="654"/>
      <c r="D3587" s="654"/>
      <c r="E3587" s="256"/>
      <c r="H3587" s="231">
        <f t="shared" si="110"/>
        <v>0</v>
      </c>
      <c r="I3587" s="231">
        <f t="shared" si="111"/>
        <v>0</v>
      </c>
    </row>
    <row r="3588" spans="1:9" s="216" customFormat="1" hidden="1">
      <c r="A3588" s="1569"/>
      <c r="B3588" s="107"/>
      <c r="C3588" s="654"/>
      <c r="D3588" s="654"/>
      <c r="E3588" s="256"/>
      <c r="F3588" s="7"/>
      <c r="G3588" s="7"/>
      <c r="H3588" s="231">
        <f t="shared" si="110"/>
        <v>0</v>
      </c>
      <c r="I3588" s="231">
        <f t="shared" si="111"/>
        <v>0</v>
      </c>
    </row>
    <row r="3589" spans="1:9" hidden="1">
      <c r="A3589" s="1569"/>
      <c r="B3589" s="107"/>
      <c r="C3589" s="654"/>
      <c r="D3589" s="654"/>
      <c r="E3589" s="256"/>
      <c r="H3589" s="231">
        <f t="shared" si="110"/>
        <v>0</v>
      </c>
      <c r="I3589" s="231">
        <f t="shared" si="111"/>
        <v>0</v>
      </c>
    </row>
    <row r="3590" spans="1:9" hidden="1">
      <c r="A3590" s="1569"/>
      <c r="B3590" s="107"/>
      <c r="C3590" s="654"/>
      <c r="D3590" s="654"/>
      <c r="E3590" s="256"/>
      <c r="H3590" s="231">
        <f t="shared" si="110"/>
        <v>0</v>
      </c>
      <c r="I3590" s="231">
        <f t="shared" si="111"/>
        <v>0</v>
      </c>
    </row>
    <row r="3591" spans="1:9" hidden="1">
      <c r="A3591" s="1569"/>
      <c r="B3591" s="107"/>
      <c r="C3591" s="654"/>
      <c r="D3591" s="654"/>
      <c r="E3591" s="256"/>
      <c r="H3591" s="231">
        <f t="shared" si="110"/>
        <v>0</v>
      </c>
      <c r="I3591" s="231">
        <f t="shared" si="111"/>
        <v>0</v>
      </c>
    </row>
    <row r="3592" spans="1:9" hidden="1">
      <c r="A3592" s="1569"/>
      <c r="B3592" s="107"/>
      <c r="C3592" s="654"/>
      <c r="D3592" s="654"/>
      <c r="E3592" s="256"/>
      <c r="H3592" s="231">
        <f t="shared" si="110"/>
        <v>0</v>
      </c>
      <c r="I3592" s="231">
        <f t="shared" si="111"/>
        <v>0</v>
      </c>
    </row>
    <row r="3593" spans="1:9" hidden="1">
      <c r="A3593" s="1569"/>
      <c r="B3593" s="107"/>
      <c r="C3593" s="654"/>
      <c r="D3593" s="654"/>
      <c r="E3593" s="256"/>
      <c r="H3593" s="231">
        <f t="shared" ref="H3593:H3656" si="112">E3593+D3593-C3593</f>
        <v>0</v>
      </c>
      <c r="I3593" s="231">
        <f t="shared" ref="I3593:I3656" si="113">SUM(C3593:E3593)</f>
        <v>0</v>
      </c>
    </row>
    <row r="3594" spans="1:9" hidden="1">
      <c r="A3594" s="1569"/>
      <c r="B3594" s="107"/>
      <c r="C3594" s="654"/>
      <c r="D3594" s="654"/>
      <c r="E3594" s="256"/>
      <c r="H3594" s="231">
        <f t="shared" si="112"/>
        <v>0</v>
      </c>
      <c r="I3594" s="231">
        <f t="shared" si="113"/>
        <v>0</v>
      </c>
    </row>
    <row r="3595" spans="1:9" hidden="1">
      <c r="A3595" s="1569"/>
      <c r="B3595" s="107"/>
      <c r="C3595" s="654"/>
      <c r="D3595" s="654"/>
      <c r="E3595" s="256"/>
      <c r="H3595" s="231">
        <f t="shared" si="112"/>
        <v>0</v>
      </c>
      <c r="I3595" s="231">
        <f t="shared" si="113"/>
        <v>0</v>
      </c>
    </row>
    <row r="3596" spans="1:9" hidden="1">
      <c r="A3596" s="1569"/>
      <c r="B3596" s="107"/>
      <c r="C3596" s="654"/>
      <c r="D3596" s="654"/>
      <c r="E3596" s="256"/>
      <c r="H3596" s="231">
        <f t="shared" si="112"/>
        <v>0</v>
      </c>
      <c r="I3596" s="231">
        <f t="shared" si="113"/>
        <v>0</v>
      </c>
    </row>
    <row r="3597" spans="1:9" hidden="1">
      <c r="A3597" s="1569"/>
      <c r="B3597" s="107"/>
      <c r="C3597" s="654"/>
      <c r="D3597" s="654"/>
      <c r="E3597" s="256"/>
      <c r="H3597" s="231">
        <f t="shared" si="112"/>
        <v>0</v>
      </c>
      <c r="I3597" s="231">
        <f t="shared" si="113"/>
        <v>0</v>
      </c>
    </row>
    <row r="3598" spans="1:9" hidden="1">
      <c r="A3598" s="1569"/>
      <c r="B3598" s="107"/>
      <c r="C3598" s="654"/>
      <c r="D3598" s="654"/>
      <c r="E3598" s="256"/>
      <c r="H3598" s="231">
        <f t="shared" si="112"/>
        <v>0</v>
      </c>
      <c r="I3598" s="231">
        <f t="shared" si="113"/>
        <v>0</v>
      </c>
    </row>
    <row r="3599" spans="1:9" hidden="1">
      <c r="A3599" s="1569"/>
      <c r="B3599" s="107"/>
      <c r="C3599" s="654"/>
      <c r="D3599" s="654"/>
      <c r="E3599" s="256"/>
      <c r="H3599" s="231">
        <f t="shared" si="112"/>
        <v>0</v>
      </c>
      <c r="I3599" s="231">
        <f t="shared" si="113"/>
        <v>0</v>
      </c>
    </row>
    <row r="3600" spans="1:9" hidden="1">
      <c r="A3600" s="1569"/>
      <c r="B3600" s="107"/>
      <c r="C3600" s="654"/>
      <c r="D3600" s="654"/>
      <c r="E3600" s="256"/>
      <c r="H3600" s="231">
        <f t="shared" si="112"/>
        <v>0</v>
      </c>
      <c r="I3600" s="231">
        <f t="shared" si="113"/>
        <v>0</v>
      </c>
    </row>
    <row r="3601" spans="1:12" hidden="1">
      <c r="A3601" s="1569"/>
      <c r="B3601" s="107"/>
      <c r="C3601" s="654"/>
      <c r="D3601" s="654"/>
      <c r="E3601" s="256"/>
      <c r="H3601" s="231">
        <f t="shared" si="112"/>
        <v>0</v>
      </c>
      <c r="I3601" s="231">
        <f t="shared" si="113"/>
        <v>0</v>
      </c>
    </row>
    <row r="3602" spans="1:12" hidden="1">
      <c r="A3602" s="1569"/>
      <c r="B3602" s="107"/>
      <c r="C3602" s="654"/>
      <c r="D3602" s="654"/>
      <c r="E3602" s="256"/>
      <c r="H3602" s="231">
        <f t="shared" si="112"/>
        <v>0</v>
      </c>
      <c r="I3602" s="231">
        <f t="shared" si="113"/>
        <v>0</v>
      </c>
    </row>
    <row r="3603" spans="1:12" hidden="1">
      <c r="A3603" s="1569"/>
      <c r="B3603" s="107"/>
      <c r="C3603" s="654"/>
      <c r="D3603" s="654"/>
      <c r="E3603" s="256"/>
      <c r="H3603" s="231">
        <f t="shared" si="112"/>
        <v>0</v>
      </c>
      <c r="I3603" s="231">
        <f t="shared" si="113"/>
        <v>0</v>
      </c>
    </row>
    <row r="3604" spans="1:12" hidden="1">
      <c r="A3604" s="1569"/>
      <c r="B3604" s="107"/>
      <c r="C3604" s="654"/>
      <c r="D3604" s="654"/>
      <c r="E3604" s="256"/>
      <c r="H3604" s="231">
        <f t="shared" si="112"/>
        <v>0</v>
      </c>
      <c r="I3604" s="231">
        <f t="shared" si="113"/>
        <v>0</v>
      </c>
    </row>
    <row r="3605" spans="1:12" hidden="1">
      <c r="A3605" s="1659"/>
      <c r="B3605" s="209" t="s">
        <v>985</v>
      </c>
      <c r="C3605" s="735">
        <f>SUM(C3571:C3604)</f>
        <v>0</v>
      </c>
      <c r="D3605" s="735">
        <f>SUM(D3571:D3604)</f>
        <v>0</v>
      </c>
      <c r="E3605" s="735">
        <f>SUM(E3571:E3604)</f>
        <v>0</v>
      </c>
      <c r="H3605" s="231">
        <f t="shared" si="112"/>
        <v>0</v>
      </c>
      <c r="I3605" s="231">
        <f t="shared" si="113"/>
        <v>0</v>
      </c>
    </row>
    <row r="3606" spans="1:12" ht="75">
      <c r="A3606" s="1568" t="s">
        <v>1122</v>
      </c>
      <c r="B3606" s="425" t="s">
        <v>1827</v>
      </c>
      <c r="C3606" s="817">
        <v>6000</v>
      </c>
      <c r="D3606" s="817">
        <v>6000</v>
      </c>
      <c r="E3606" s="184"/>
      <c r="H3606" s="1497">
        <f t="shared" si="112"/>
        <v>0</v>
      </c>
      <c r="I3606" s="1497">
        <f t="shared" si="113"/>
        <v>12000</v>
      </c>
      <c r="J3606" s="1440"/>
      <c r="K3606" s="1490"/>
      <c r="L3606" s="1490"/>
    </row>
    <row r="3607" spans="1:12" hidden="1">
      <c r="A3607" s="1569"/>
      <c r="B3607" s="371"/>
      <c r="C3607" s="852"/>
      <c r="D3607" s="872"/>
      <c r="E3607" s="872"/>
      <c r="H3607" s="231">
        <f t="shared" si="112"/>
        <v>0</v>
      </c>
      <c r="I3607" s="231">
        <f t="shared" si="113"/>
        <v>0</v>
      </c>
    </row>
    <row r="3608" spans="1:12" hidden="1">
      <c r="A3608" s="1569"/>
      <c r="B3608" s="371"/>
      <c r="C3608" s="852"/>
      <c r="D3608" s="852"/>
      <c r="E3608" s="852"/>
      <c r="H3608" s="231">
        <f t="shared" si="112"/>
        <v>0</v>
      </c>
      <c r="I3608" s="231">
        <f t="shared" si="113"/>
        <v>0</v>
      </c>
    </row>
    <row r="3609" spans="1:12" hidden="1">
      <c r="A3609" s="1569"/>
      <c r="B3609" s="181"/>
      <c r="C3609" s="654"/>
      <c r="D3609" s="654"/>
      <c r="E3609" s="655"/>
      <c r="H3609" s="231">
        <f t="shared" si="112"/>
        <v>0</v>
      </c>
      <c r="I3609" s="231">
        <f t="shared" si="113"/>
        <v>0</v>
      </c>
    </row>
    <row r="3610" spans="1:12" hidden="1">
      <c r="A3610" s="1569"/>
      <c r="B3610" s="107"/>
      <c r="C3610" s="654"/>
      <c r="D3610" s="654"/>
      <c r="E3610" s="654"/>
      <c r="H3610" s="231">
        <f t="shared" si="112"/>
        <v>0</v>
      </c>
      <c r="I3610" s="231">
        <f t="shared" si="113"/>
        <v>0</v>
      </c>
    </row>
    <row r="3611" spans="1:12" hidden="1">
      <c r="A3611" s="1569"/>
      <c r="B3611" s="116"/>
      <c r="C3611" s="679"/>
      <c r="D3611" s="679"/>
      <c r="E3611" s="654"/>
      <c r="H3611" s="231">
        <f t="shared" si="112"/>
        <v>0</v>
      </c>
      <c r="I3611" s="231">
        <f t="shared" si="113"/>
        <v>0</v>
      </c>
    </row>
    <row r="3612" spans="1:12" hidden="1">
      <c r="A3612" s="1569"/>
      <c r="B3612" s="107"/>
      <c r="C3612" s="654"/>
      <c r="D3612" s="654"/>
      <c r="E3612" s="654"/>
      <c r="H3612" s="231">
        <f t="shared" si="112"/>
        <v>0</v>
      </c>
      <c r="I3612" s="231">
        <f t="shared" si="113"/>
        <v>0</v>
      </c>
    </row>
    <row r="3613" spans="1:12" hidden="1">
      <c r="A3613" s="1569"/>
      <c r="B3613" s="116"/>
      <c r="C3613" s="679"/>
      <c r="D3613" s="679"/>
      <c r="E3613" s="679"/>
      <c r="H3613" s="231">
        <f t="shared" si="112"/>
        <v>0</v>
      </c>
      <c r="I3613" s="231">
        <f t="shared" si="113"/>
        <v>0</v>
      </c>
    </row>
    <row r="3614" spans="1:12" hidden="1">
      <c r="A3614" s="1569"/>
      <c r="B3614" s="116"/>
      <c r="C3614" s="679"/>
      <c r="D3614" s="679"/>
      <c r="E3614" s="654"/>
      <c r="H3614" s="231">
        <f t="shared" si="112"/>
        <v>0</v>
      </c>
      <c r="I3614" s="231">
        <f t="shared" si="113"/>
        <v>0</v>
      </c>
    </row>
    <row r="3615" spans="1:12" hidden="1">
      <c r="A3615" s="1569"/>
      <c r="B3615" s="107"/>
      <c r="C3615" s="654"/>
      <c r="D3615" s="654"/>
      <c r="E3615" s="654"/>
      <c r="H3615" s="231">
        <f t="shared" si="112"/>
        <v>0</v>
      </c>
      <c r="I3615" s="231">
        <f t="shared" si="113"/>
        <v>0</v>
      </c>
    </row>
    <row r="3616" spans="1:12" hidden="1">
      <c r="A3616" s="1569"/>
      <c r="B3616" s="107"/>
      <c r="C3616" s="654"/>
      <c r="D3616" s="654"/>
      <c r="E3616" s="256"/>
      <c r="H3616" s="231">
        <f t="shared" si="112"/>
        <v>0</v>
      </c>
      <c r="I3616" s="231">
        <f t="shared" si="113"/>
        <v>0</v>
      </c>
    </row>
    <row r="3617" spans="1:9" hidden="1">
      <c r="A3617" s="1569"/>
      <c r="B3617" s="107"/>
      <c r="C3617" s="654"/>
      <c r="D3617" s="654"/>
      <c r="E3617" s="256"/>
      <c r="H3617" s="231">
        <f t="shared" si="112"/>
        <v>0</v>
      </c>
      <c r="I3617" s="231">
        <f t="shared" si="113"/>
        <v>0</v>
      </c>
    </row>
    <row r="3618" spans="1:9" hidden="1">
      <c r="A3618" s="1569"/>
      <c r="B3618" s="107"/>
      <c r="C3618" s="654"/>
      <c r="D3618" s="654"/>
      <c r="E3618" s="256"/>
      <c r="H3618" s="231">
        <f t="shared" si="112"/>
        <v>0</v>
      </c>
      <c r="I3618" s="231">
        <f t="shared" si="113"/>
        <v>0</v>
      </c>
    </row>
    <row r="3619" spans="1:9" hidden="1">
      <c r="A3619" s="1569"/>
      <c r="B3619" s="107"/>
      <c r="C3619" s="654"/>
      <c r="D3619" s="654"/>
      <c r="E3619" s="256"/>
      <c r="H3619" s="231">
        <f t="shared" si="112"/>
        <v>0</v>
      </c>
      <c r="I3619" s="231">
        <f t="shared" si="113"/>
        <v>0</v>
      </c>
    </row>
    <row r="3620" spans="1:9" hidden="1">
      <c r="A3620" s="1569"/>
      <c r="B3620" s="116"/>
      <c r="C3620" s="679"/>
      <c r="D3620" s="679"/>
      <c r="E3620" s="256"/>
      <c r="H3620" s="231">
        <f t="shared" si="112"/>
        <v>0</v>
      </c>
      <c r="I3620" s="231">
        <f t="shared" si="113"/>
        <v>0</v>
      </c>
    </row>
    <row r="3621" spans="1:9" hidden="1">
      <c r="A3621" s="1569"/>
      <c r="B3621" s="107"/>
      <c r="C3621" s="654"/>
      <c r="D3621" s="654"/>
      <c r="E3621" s="256"/>
      <c r="H3621" s="231">
        <f t="shared" si="112"/>
        <v>0</v>
      </c>
      <c r="I3621" s="231">
        <f t="shared" si="113"/>
        <v>0</v>
      </c>
    </row>
    <row r="3622" spans="1:9" hidden="1">
      <c r="A3622" s="1569"/>
      <c r="B3622" s="107"/>
      <c r="C3622" s="654"/>
      <c r="D3622" s="654"/>
      <c r="E3622" s="256"/>
      <c r="H3622" s="231">
        <f t="shared" si="112"/>
        <v>0</v>
      </c>
      <c r="I3622" s="231">
        <f t="shared" si="113"/>
        <v>0</v>
      </c>
    </row>
    <row r="3623" spans="1:9" hidden="1">
      <c r="A3623" s="1569"/>
      <c r="B3623" s="107"/>
      <c r="C3623" s="654"/>
      <c r="D3623" s="654"/>
      <c r="E3623" s="256"/>
      <c r="H3623" s="231">
        <f t="shared" si="112"/>
        <v>0</v>
      </c>
      <c r="I3623" s="231">
        <f t="shared" si="113"/>
        <v>0</v>
      </c>
    </row>
    <row r="3624" spans="1:9" hidden="1">
      <c r="A3624" s="1569"/>
      <c r="B3624" s="107"/>
      <c r="C3624" s="654"/>
      <c r="D3624" s="654"/>
      <c r="E3624" s="256"/>
      <c r="H3624" s="231">
        <f t="shared" si="112"/>
        <v>0</v>
      </c>
      <c r="I3624" s="231">
        <f t="shared" si="113"/>
        <v>0</v>
      </c>
    </row>
    <row r="3625" spans="1:9" hidden="1">
      <c r="A3625" s="1569"/>
      <c r="B3625" s="107"/>
      <c r="C3625" s="654"/>
      <c r="D3625" s="654"/>
      <c r="E3625" s="256"/>
      <c r="H3625" s="231">
        <f t="shared" si="112"/>
        <v>0</v>
      </c>
      <c r="I3625" s="231">
        <f t="shared" si="113"/>
        <v>0</v>
      </c>
    </row>
    <row r="3626" spans="1:9" hidden="1">
      <c r="A3626" s="1569"/>
      <c r="B3626" s="107"/>
      <c r="C3626" s="654"/>
      <c r="D3626" s="654"/>
      <c r="E3626" s="256"/>
      <c r="H3626" s="231">
        <f t="shared" si="112"/>
        <v>0</v>
      </c>
      <c r="I3626" s="231">
        <f t="shared" si="113"/>
        <v>0</v>
      </c>
    </row>
    <row r="3627" spans="1:9" hidden="1">
      <c r="A3627" s="1569"/>
      <c r="B3627" s="107"/>
      <c r="C3627" s="654"/>
      <c r="D3627" s="654"/>
      <c r="E3627" s="256"/>
      <c r="H3627" s="231">
        <f t="shared" si="112"/>
        <v>0</v>
      </c>
      <c r="I3627" s="231">
        <f t="shared" si="113"/>
        <v>0</v>
      </c>
    </row>
    <row r="3628" spans="1:9" hidden="1">
      <c r="A3628" s="1569"/>
      <c r="B3628" s="107"/>
      <c r="C3628" s="654"/>
      <c r="D3628" s="654"/>
      <c r="E3628" s="256"/>
      <c r="H3628" s="231">
        <f t="shared" si="112"/>
        <v>0</v>
      </c>
      <c r="I3628" s="231">
        <f t="shared" si="113"/>
        <v>0</v>
      </c>
    </row>
    <row r="3629" spans="1:9" hidden="1">
      <c r="A3629" s="1569"/>
      <c r="B3629" s="107"/>
      <c r="C3629" s="654"/>
      <c r="D3629" s="654"/>
      <c r="E3629" s="256"/>
      <c r="H3629" s="231">
        <f t="shared" si="112"/>
        <v>0</v>
      </c>
      <c r="I3629" s="231">
        <f t="shared" si="113"/>
        <v>0</v>
      </c>
    </row>
    <row r="3630" spans="1:9" hidden="1">
      <c r="A3630" s="1569"/>
      <c r="B3630" s="107"/>
      <c r="C3630" s="654"/>
      <c r="D3630" s="654"/>
      <c r="E3630" s="256"/>
      <c r="H3630" s="231">
        <f t="shared" si="112"/>
        <v>0</v>
      </c>
      <c r="I3630" s="231">
        <f t="shared" si="113"/>
        <v>0</v>
      </c>
    </row>
    <row r="3631" spans="1:9" hidden="1">
      <c r="A3631" s="1569"/>
      <c r="B3631" s="107"/>
      <c r="C3631" s="654"/>
      <c r="D3631" s="654"/>
      <c r="E3631" s="256"/>
      <c r="H3631" s="231">
        <f t="shared" si="112"/>
        <v>0</v>
      </c>
      <c r="I3631" s="231">
        <f t="shared" si="113"/>
        <v>0</v>
      </c>
    </row>
    <row r="3632" spans="1:9" hidden="1">
      <c r="A3632" s="1569"/>
      <c r="B3632" s="107"/>
      <c r="C3632" s="654"/>
      <c r="D3632" s="654"/>
      <c r="E3632" s="256"/>
      <c r="H3632" s="231">
        <f t="shared" si="112"/>
        <v>0</v>
      </c>
      <c r="I3632" s="231">
        <f t="shared" si="113"/>
        <v>0</v>
      </c>
    </row>
    <row r="3633" spans="1:12" hidden="1">
      <c r="A3633" s="1569"/>
      <c r="B3633" s="107"/>
      <c r="C3633" s="654"/>
      <c r="D3633" s="654"/>
      <c r="E3633" s="256"/>
      <c r="H3633" s="231">
        <f t="shared" si="112"/>
        <v>0</v>
      </c>
      <c r="I3633" s="231">
        <f t="shared" si="113"/>
        <v>0</v>
      </c>
    </row>
    <row r="3634" spans="1:12" hidden="1">
      <c r="A3634" s="1569"/>
      <c r="B3634" s="107"/>
      <c r="C3634" s="654"/>
      <c r="D3634" s="654"/>
      <c r="E3634" s="256"/>
      <c r="H3634" s="231">
        <f t="shared" si="112"/>
        <v>0</v>
      </c>
      <c r="I3634" s="231">
        <f t="shared" si="113"/>
        <v>0</v>
      </c>
    </row>
    <row r="3635" spans="1:12" hidden="1">
      <c r="A3635" s="1569"/>
      <c r="B3635" s="107"/>
      <c r="C3635" s="654"/>
      <c r="D3635" s="654"/>
      <c r="E3635" s="256"/>
      <c r="H3635" s="231">
        <f t="shared" si="112"/>
        <v>0</v>
      </c>
      <c r="I3635" s="231">
        <f t="shared" si="113"/>
        <v>0</v>
      </c>
    </row>
    <row r="3636" spans="1:12" hidden="1">
      <c r="A3636" s="1569"/>
      <c r="B3636" s="107"/>
      <c r="C3636" s="654"/>
      <c r="D3636" s="654"/>
      <c r="E3636" s="256"/>
      <c r="H3636" s="231">
        <f t="shared" si="112"/>
        <v>0</v>
      </c>
      <c r="I3636" s="231">
        <f t="shared" si="113"/>
        <v>0</v>
      </c>
    </row>
    <row r="3637" spans="1:12" hidden="1">
      <c r="A3637" s="1569"/>
      <c r="B3637" s="107"/>
      <c r="C3637" s="654"/>
      <c r="D3637" s="654"/>
      <c r="E3637" s="256"/>
      <c r="H3637" s="231">
        <f t="shared" si="112"/>
        <v>0</v>
      </c>
      <c r="I3637" s="231">
        <f t="shared" si="113"/>
        <v>0</v>
      </c>
    </row>
    <row r="3638" spans="1:12" hidden="1">
      <c r="A3638" s="1569"/>
      <c r="B3638" s="107"/>
      <c r="C3638" s="654"/>
      <c r="D3638" s="654"/>
      <c r="E3638" s="256"/>
      <c r="H3638" s="231">
        <f t="shared" si="112"/>
        <v>0</v>
      </c>
      <c r="I3638" s="231">
        <f t="shared" si="113"/>
        <v>0</v>
      </c>
    </row>
    <row r="3639" spans="1:12" hidden="1">
      <c r="A3639" s="1569"/>
      <c r="B3639" s="107"/>
      <c r="C3639" s="654"/>
      <c r="D3639" s="654"/>
      <c r="E3639" s="256"/>
      <c r="H3639" s="231">
        <f t="shared" si="112"/>
        <v>0</v>
      </c>
      <c r="I3639" s="231">
        <f t="shared" si="113"/>
        <v>0</v>
      </c>
    </row>
    <row r="3640" spans="1:12">
      <c r="A3640" s="1659"/>
      <c r="B3640" s="209" t="s">
        <v>985</v>
      </c>
      <c r="C3640" s="735">
        <f>SUM(C3606:C3639)</f>
        <v>6000</v>
      </c>
      <c r="D3640" s="735">
        <f>SUM(D3606:D3639)</f>
        <v>6000</v>
      </c>
      <c r="E3640" s="735">
        <f>SUM(E3606:E3639)</f>
        <v>0</v>
      </c>
      <c r="H3640" s="1497">
        <f t="shared" si="112"/>
        <v>0</v>
      </c>
      <c r="I3640" s="1497">
        <f t="shared" si="113"/>
        <v>12000</v>
      </c>
      <c r="J3640" s="1440"/>
      <c r="K3640" s="1490"/>
      <c r="L3640" s="1490"/>
    </row>
    <row r="3641" spans="1:12" ht="37.5">
      <c r="A3641" s="1568" t="s">
        <v>1123</v>
      </c>
      <c r="B3641" s="1215" t="s">
        <v>1427</v>
      </c>
      <c r="C3641" s="1214">
        <v>10000</v>
      </c>
      <c r="D3641" s="256"/>
      <c r="E3641" s="256">
        <v>10000</v>
      </c>
      <c r="H3641" s="1497">
        <f t="shared" si="112"/>
        <v>0</v>
      </c>
      <c r="I3641" s="1497">
        <f t="shared" si="113"/>
        <v>20000</v>
      </c>
      <c r="J3641" s="1440"/>
      <c r="K3641" s="1490"/>
      <c r="L3641" s="1490"/>
    </row>
    <row r="3642" spans="1:12" ht="37.5">
      <c r="A3642" s="1569"/>
      <c r="B3642" s="1215" t="s">
        <v>1428</v>
      </c>
      <c r="C3642" s="1214">
        <v>10000</v>
      </c>
      <c r="D3642" s="256">
        <v>10000</v>
      </c>
      <c r="E3642" s="256"/>
      <c r="H3642" s="1497">
        <f t="shared" si="112"/>
        <v>0</v>
      </c>
      <c r="I3642" s="1497">
        <f t="shared" si="113"/>
        <v>20000</v>
      </c>
      <c r="J3642" s="1440"/>
      <c r="K3642" s="1490"/>
      <c r="L3642" s="1490"/>
    </row>
    <row r="3643" spans="1:12" ht="56.25">
      <c r="A3643" s="1569"/>
      <c r="B3643" s="107" t="s">
        <v>1828</v>
      </c>
      <c r="C3643" s="184">
        <v>40000</v>
      </c>
      <c r="D3643" s="184">
        <v>40000</v>
      </c>
      <c r="E3643" s="184"/>
      <c r="H3643" s="1497">
        <f t="shared" si="112"/>
        <v>0</v>
      </c>
      <c r="I3643" s="1497">
        <f t="shared" si="113"/>
        <v>80000</v>
      </c>
      <c r="J3643" s="1440"/>
      <c r="K3643" s="1490"/>
      <c r="L3643" s="1490"/>
    </row>
    <row r="3644" spans="1:12" ht="37.5">
      <c r="A3644" s="1569"/>
      <c r="B3644" s="107" t="s">
        <v>1829</v>
      </c>
      <c r="C3644" s="184">
        <v>3000</v>
      </c>
      <c r="D3644" s="184">
        <v>3000</v>
      </c>
      <c r="E3644" s="184"/>
      <c r="H3644" s="1497">
        <f t="shared" si="112"/>
        <v>0</v>
      </c>
      <c r="I3644" s="1497">
        <f t="shared" si="113"/>
        <v>6000</v>
      </c>
      <c r="J3644" s="1440"/>
      <c r="K3644" s="1490"/>
      <c r="L3644" s="1490"/>
    </row>
    <row r="3645" spans="1:12" ht="56.25">
      <c r="A3645" s="1569"/>
      <c r="B3645" s="107" t="s">
        <v>1830</v>
      </c>
      <c r="C3645" s="184">
        <v>22000</v>
      </c>
      <c r="D3645" s="184">
        <v>22000</v>
      </c>
      <c r="E3645" s="184"/>
      <c r="H3645" s="1497">
        <f t="shared" si="112"/>
        <v>0</v>
      </c>
      <c r="I3645" s="1497">
        <f t="shared" si="113"/>
        <v>44000</v>
      </c>
      <c r="J3645" s="1440"/>
      <c r="K3645" s="1490"/>
      <c r="L3645" s="1490"/>
    </row>
    <row r="3646" spans="1:12" ht="56.25">
      <c r="A3646" s="1569"/>
      <c r="B3646" s="107" t="s">
        <v>1831</v>
      </c>
      <c r="C3646" s="184">
        <v>10000</v>
      </c>
      <c r="D3646" s="184">
        <v>10000</v>
      </c>
      <c r="E3646" s="184"/>
      <c r="H3646" s="1497">
        <f t="shared" si="112"/>
        <v>0</v>
      </c>
      <c r="I3646" s="1497">
        <f t="shared" si="113"/>
        <v>20000</v>
      </c>
      <c r="J3646" s="1440"/>
      <c r="K3646" s="1490"/>
      <c r="L3646" s="1490"/>
    </row>
    <row r="3647" spans="1:12" ht="56.25">
      <c r="A3647" s="1569"/>
      <c r="B3647" s="107" t="s">
        <v>1832</v>
      </c>
      <c r="C3647" s="184">
        <v>18000</v>
      </c>
      <c r="D3647" s="184"/>
      <c r="E3647" s="184">
        <v>18000</v>
      </c>
      <c r="H3647" s="1497">
        <f t="shared" si="112"/>
        <v>0</v>
      </c>
      <c r="I3647" s="1497">
        <f t="shared" si="113"/>
        <v>36000</v>
      </c>
      <c r="J3647" s="1440"/>
      <c r="K3647" s="1490"/>
      <c r="L3647" s="1490"/>
    </row>
    <row r="3648" spans="1:12" ht="56.25">
      <c r="A3648" s="1569"/>
      <c r="B3648" s="107" t="s">
        <v>1833</v>
      </c>
      <c r="C3648" s="1226">
        <v>25000</v>
      </c>
      <c r="D3648" s="1226">
        <v>25000</v>
      </c>
      <c r="E3648" s="1227"/>
      <c r="H3648" s="1497">
        <f t="shared" si="112"/>
        <v>0</v>
      </c>
      <c r="I3648" s="1497">
        <f t="shared" si="113"/>
        <v>50000</v>
      </c>
      <c r="J3648" s="1440"/>
      <c r="K3648" s="1490"/>
      <c r="L3648" s="1490"/>
    </row>
    <row r="3649" spans="1:12" ht="56.25">
      <c r="A3649" s="1569"/>
      <c r="B3649" s="425" t="s">
        <v>1834</v>
      </c>
      <c r="C3649" s="817">
        <v>12000</v>
      </c>
      <c r="D3649" s="817">
        <v>12000</v>
      </c>
      <c r="E3649" s="184"/>
      <c r="H3649" s="1497">
        <f t="shared" si="112"/>
        <v>0</v>
      </c>
      <c r="I3649" s="1497">
        <f t="shared" si="113"/>
        <v>24000</v>
      </c>
      <c r="J3649" s="1440"/>
      <c r="K3649" s="1490"/>
      <c r="L3649" s="1490"/>
    </row>
    <row r="3650" spans="1:12" ht="93.75">
      <c r="A3650" s="1569"/>
      <c r="B3650" s="425" t="s">
        <v>1835</v>
      </c>
      <c r="C3650" s="817">
        <v>10000</v>
      </c>
      <c r="D3650" s="817">
        <v>1000</v>
      </c>
      <c r="E3650" s="184">
        <v>9000</v>
      </c>
      <c r="H3650" s="1497">
        <f t="shared" si="112"/>
        <v>0</v>
      </c>
      <c r="I3650" s="1497">
        <f t="shared" si="113"/>
        <v>20000</v>
      </c>
      <c r="J3650" s="1440"/>
      <c r="K3650" s="1490"/>
      <c r="L3650" s="1490"/>
    </row>
    <row r="3651" spans="1:12" ht="93.75">
      <c r="A3651" s="1569"/>
      <c r="B3651" s="425" t="s">
        <v>1836</v>
      </c>
      <c r="C3651" s="817">
        <v>4373</v>
      </c>
      <c r="D3651" s="817">
        <v>4373</v>
      </c>
      <c r="E3651" s="184"/>
      <c r="H3651" s="1497">
        <f t="shared" si="112"/>
        <v>0</v>
      </c>
      <c r="I3651" s="1497">
        <f t="shared" si="113"/>
        <v>8746</v>
      </c>
      <c r="J3651" s="1440"/>
      <c r="K3651" s="1490"/>
      <c r="L3651" s="1490"/>
    </row>
    <row r="3652" spans="1:12" ht="56.25">
      <c r="A3652" s="1569"/>
      <c r="B3652" s="425" t="s">
        <v>1837</v>
      </c>
      <c r="C3652" s="817">
        <v>10000</v>
      </c>
      <c r="D3652" s="817"/>
      <c r="E3652" s="184">
        <v>10000</v>
      </c>
      <c r="H3652" s="1497">
        <f t="shared" si="112"/>
        <v>0</v>
      </c>
      <c r="I3652" s="1497">
        <f t="shared" si="113"/>
        <v>20000</v>
      </c>
      <c r="J3652" s="1440"/>
      <c r="K3652" s="1490"/>
      <c r="L3652" s="1490"/>
    </row>
    <row r="3653" spans="1:12" ht="37.5">
      <c r="A3653" s="1569"/>
      <c r="B3653" s="425" t="s">
        <v>1838</v>
      </c>
      <c r="C3653" s="817">
        <v>5000</v>
      </c>
      <c r="D3653" s="817">
        <v>5000</v>
      </c>
      <c r="E3653" s="184"/>
      <c r="H3653" s="1497">
        <f t="shared" si="112"/>
        <v>0</v>
      </c>
      <c r="I3653" s="1497">
        <f t="shared" si="113"/>
        <v>10000</v>
      </c>
      <c r="J3653" s="1440"/>
      <c r="K3653" s="1490"/>
      <c r="L3653" s="1490"/>
    </row>
    <row r="3654" spans="1:12" ht="75">
      <c r="A3654" s="1569"/>
      <c r="B3654" s="107" t="s">
        <v>1079</v>
      </c>
      <c r="C3654" s="645">
        <v>508400</v>
      </c>
      <c r="D3654" s="645"/>
      <c r="E3654" s="646">
        <v>508400</v>
      </c>
      <c r="H3654" s="1497">
        <f t="shared" si="112"/>
        <v>0</v>
      </c>
      <c r="I3654" s="1497">
        <f t="shared" si="113"/>
        <v>1016800</v>
      </c>
      <c r="J3654" s="1440"/>
      <c r="K3654" s="1490"/>
      <c r="L3654" s="1490"/>
    </row>
    <row r="3655" spans="1:12" ht="31.5">
      <c r="A3655" s="1569"/>
      <c r="B3655" s="1266" t="s">
        <v>1986</v>
      </c>
      <c r="C3655" s="1289">
        <v>70000</v>
      </c>
      <c r="D3655" s="1289">
        <v>70000</v>
      </c>
      <c r="E3655" s="1289"/>
      <c r="H3655" s="1497">
        <f t="shared" si="112"/>
        <v>0</v>
      </c>
      <c r="I3655" s="1497">
        <f t="shared" si="113"/>
        <v>140000</v>
      </c>
      <c r="J3655" s="1440"/>
      <c r="K3655" s="1490"/>
      <c r="L3655" s="1490"/>
    </row>
    <row r="3656" spans="1:12" hidden="1">
      <c r="A3656" s="1569"/>
      <c r="B3656" s="107"/>
      <c r="C3656" s="589"/>
      <c r="D3656" s="589"/>
      <c r="E3656" s="510"/>
      <c r="H3656" s="231">
        <f t="shared" si="112"/>
        <v>0</v>
      </c>
      <c r="I3656" s="231">
        <f t="shared" si="113"/>
        <v>0</v>
      </c>
    </row>
    <row r="3657" spans="1:12" hidden="1">
      <c r="A3657" s="1569"/>
      <c r="B3657" s="107"/>
      <c r="C3657" s="645"/>
      <c r="D3657" s="645"/>
      <c r="E3657" s="646"/>
      <c r="H3657" s="231">
        <f t="shared" ref="H3657:H3720" si="114">E3657+D3657-C3657</f>
        <v>0</v>
      </c>
      <c r="I3657" s="231">
        <f t="shared" ref="I3657:I3720" si="115">SUM(C3657:E3657)</f>
        <v>0</v>
      </c>
    </row>
    <row r="3658" spans="1:12" hidden="1">
      <c r="A3658" s="1569"/>
      <c r="B3658" s="107"/>
      <c r="C3658" s="645"/>
      <c r="D3658" s="645"/>
      <c r="E3658" s="646"/>
      <c r="H3658" s="231">
        <f t="shared" si="114"/>
        <v>0</v>
      </c>
      <c r="I3658" s="231">
        <f t="shared" si="115"/>
        <v>0</v>
      </c>
    </row>
    <row r="3659" spans="1:12" hidden="1">
      <c r="A3659" s="1569"/>
      <c r="B3659" s="107"/>
      <c r="C3659" s="645"/>
      <c r="D3659" s="645"/>
      <c r="E3659" s="646"/>
      <c r="H3659" s="231">
        <f t="shared" si="114"/>
        <v>0</v>
      </c>
      <c r="I3659" s="231">
        <f t="shared" si="115"/>
        <v>0</v>
      </c>
    </row>
    <row r="3660" spans="1:12" hidden="1">
      <c r="A3660" s="1569"/>
      <c r="B3660" s="107"/>
      <c r="C3660" s="645"/>
      <c r="D3660" s="645"/>
      <c r="E3660" s="510"/>
      <c r="H3660" s="231">
        <f t="shared" si="114"/>
        <v>0</v>
      </c>
      <c r="I3660" s="231">
        <f t="shared" si="115"/>
        <v>0</v>
      </c>
    </row>
    <row r="3661" spans="1:12" hidden="1">
      <c r="A3661" s="1569"/>
      <c r="B3661" s="107"/>
      <c r="C3661" s="645"/>
      <c r="D3661" s="645"/>
      <c r="E3661" s="646"/>
      <c r="H3661" s="231">
        <f t="shared" si="114"/>
        <v>0</v>
      </c>
      <c r="I3661" s="231">
        <f t="shared" si="115"/>
        <v>0</v>
      </c>
    </row>
    <row r="3662" spans="1:12" hidden="1">
      <c r="A3662" s="1569"/>
      <c r="B3662" s="107"/>
      <c r="C3662" s="589"/>
      <c r="D3662" s="589"/>
      <c r="E3662" s="510"/>
      <c r="H3662" s="231">
        <f t="shared" si="114"/>
        <v>0</v>
      </c>
      <c r="I3662" s="231">
        <f t="shared" si="115"/>
        <v>0</v>
      </c>
    </row>
    <row r="3663" spans="1:12" hidden="1">
      <c r="A3663" s="1569"/>
      <c r="B3663" s="107"/>
      <c r="C3663" s="589"/>
      <c r="D3663" s="589"/>
      <c r="E3663" s="510"/>
      <c r="H3663" s="231">
        <f t="shared" si="114"/>
        <v>0</v>
      </c>
      <c r="I3663" s="231">
        <f t="shared" si="115"/>
        <v>0</v>
      </c>
    </row>
    <row r="3664" spans="1:12" hidden="1">
      <c r="A3664" s="1569"/>
      <c r="B3664" s="107"/>
      <c r="C3664" s="589"/>
      <c r="D3664" s="589"/>
      <c r="E3664" s="510"/>
      <c r="H3664" s="231">
        <f t="shared" si="114"/>
        <v>0</v>
      </c>
      <c r="I3664" s="231">
        <f t="shared" si="115"/>
        <v>0</v>
      </c>
    </row>
    <row r="3665" spans="1:9" hidden="1">
      <c r="A3665" s="1569"/>
      <c r="B3665" s="617"/>
      <c r="C3665" s="633"/>
      <c r="D3665" s="633"/>
      <c r="E3665" s="633"/>
      <c r="H3665" s="231">
        <f t="shared" si="114"/>
        <v>0</v>
      </c>
      <c r="I3665" s="231">
        <f t="shared" si="115"/>
        <v>0</v>
      </c>
    </row>
    <row r="3666" spans="1:9" hidden="1">
      <c r="A3666" s="1569"/>
      <c r="B3666" s="617"/>
      <c r="C3666" s="633"/>
      <c r="D3666" s="633"/>
      <c r="E3666" s="633"/>
      <c r="H3666" s="231">
        <f t="shared" si="114"/>
        <v>0</v>
      </c>
      <c r="I3666" s="231">
        <f t="shared" si="115"/>
        <v>0</v>
      </c>
    </row>
    <row r="3667" spans="1:9" hidden="1">
      <c r="A3667" s="1569"/>
      <c r="B3667" s="617"/>
      <c r="C3667" s="633"/>
      <c r="D3667" s="633"/>
      <c r="E3667" s="633"/>
      <c r="H3667" s="231">
        <f t="shared" si="114"/>
        <v>0</v>
      </c>
      <c r="I3667" s="231">
        <f t="shared" si="115"/>
        <v>0</v>
      </c>
    </row>
    <row r="3668" spans="1:9" hidden="1">
      <c r="A3668" s="1569"/>
      <c r="B3668" s="617"/>
      <c r="C3668" s="633"/>
      <c r="D3668" s="633"/>
      <c r="E3668" s="633"/>
      <c r="H3668" s="231">
        <f t="shared" si="114"/>
        <v>0</v>
      </c>
      <c r="I3668" s="231">
        <f t="shared" si="115"/>
        <v>0</v>
      </c>
    </row>
    <row r="3669" spans="1:9" hidden="1">
      <c r="A3669" s="1569"/>
      <c r="B3669" s="617"/>
      <c r="C3669" s="633"/>
      <c r="D3669" s="633"/>
      <c r="E3669" s="633"/>
      <c r="H3669" s="231">
        <f t="shared" si="114"/>
        <v>0</v>
      </c>
      <c r="I3669" s="231">
        <f t="shared" si="115"/>
        <v>0</v>
      </c>
    </row>
    <row r="3670" spans="1:9" hidden="1">
      <c r="A3670" s="1569"/>
      <c r="B3670" s="617"/>
      <c r="C3670" s="633"/>
      <c r="D3670" s="633"/>
      <c r="E3670" s="633"/>
      <c r="H3670" s="231">
        <f t="shared" si="114"/>
        <v>0</v>
      </c>
      <c r="I3670" s="231">
        <f t="shared" si="115"/>
        <v>0</v>
      </c>
    </row>
    <row r="3671" spans="1:9" hidden="1">
      <c r="A3671" s="1569"/>
      <c r="B3671" s="617"/>
      <c r="C3671" s="633"/>
      <c r="D3671" s="633"/>
      <c r="E3671" s="633"/>
      <c r="H3671" s="231">
        <f t="shared" si="114"/>
        <v>0</v>
      </c>
      <c r="I3671" s="231">
        <f t="shared" si="115"/>
        <v>0</v>
      </c>
    </row>
    <row r="3672" spans="1:9" hidden="1">
      <c r="A3672" s="1569"/>
      <c r="B3672" s="617"/>
      <c r="C3672" s="633"/>
      <c r="D3672" s="633"/>
      <c r="E3672" s="633"/>
      <c r="H3672" s="231">
        <f t="shared" si="114"/>
        <v>0</v>
      </c>
      <c r="I3672" s="231">
        <f t="shared" si="115"/>
        <v>0</v>
      </c>
    </row>
    <row r="3673" spans="1:9" hidden="1">
      <c r="A3673" s="1569"/>
      <c r="B3673" s="617"/>
      <c r="C3673" s="633"/>
      <c r="D3673" s="633"/>
      <c r="E3673" s="633"/>
      <c r="H3673" s="231">
        <f t="shared" si="114"/>
        <v>0</v>
      </c>
      <c r="I3673" s="231">
        <f t="shared" si="115"/>
        <v>0</v>
      </c>
    </row>
    <row r="3674" spans="1:9" hidden="1">
      <c r="A3674" s="1569"/>
      <c r="B3674" s="107"/>
      <c r="C3674" s="649"/>
      <c r="D3674" s="649"/>
      <c r="E3674" s="256"/>
      <c r="H3674" s="231">
        <f t="shared" si="114"/>
        <v>0</v>
      </c>
      <c r="I3674" s="231">
        <f t="shared" si="115"/>
        <v>0</v>
      </c>
    </row>
    <row r="3675" spans="1:9" hidden="1">
      <c r="A3675" s="1569"/>
      <c r="B3675" s="107"/>
      <c r="C3675" s="649"/>
      <c r="D3675" s="649"/>
      <c r="E3675" s="256"/>
      <c r="H3675" s="231">
        <f t="shared" si="114"/>
        <v>0</v>
      </c>
      <c r="I3675" s="231">
        <f t="shared" si="115"/>
        <v>0</v>
      </c>
    </row>
    <row r="3676" spans="1:9" hidden="1">
      <c r="A3676" s="1569"/>
      <c r="B3676" s="107"/>
      <c r="C3676" s="649"/>
      <c r="D3676" s="649"/>
      <c r="E3676" s="256"/>
      <c r="H3676" s="231">
        <f t="shared" si="114"/>
        <v>0</v>
      </c>
      <c r="I3676" s="231">
        <f t="shared" si="115"/>
        <v>0</v>
      </c>
    </row>
    <row r="3677" spans="1:9" hidden="1">
      <c r="A3677" s="1569"/>
      <c r="B3677" s="107"/>
      <c r="C3677" s="676"/>
      <c r="D3677" s="677"/>
      <c r="E3677" s="677"/>
      <c r="H3677" s="231">
        <f t="shared" si="114"/>
        <v>0</v>
      </c>
      <c r="I3677" s="231">
        <f t="shared" si="115"/>
        <v>0</v>
      </c>
    </row>
    <row r="3678" spans="1:9" hidden="1">
      <c r="A3678" s="1569"/>
      <c r="B3678" s="107"/>
      <c r="C3678" s="676"/>
      <c r="D3678" s="677"/>
      <c r="E3678" s="677"/>
      <c r="H3678" s="231">
        <f t="shared" si="114"/>
        <v>0</v>
      </c>
      <c r="I3678" s="231">
        <f t="shared" si="115"/>
        <v>0</v>
      </c>
    </row>
    <row r="3679" spans="1:9" hidden="1">
      <c r="A3679" s="1569"/>
      <c r="B3679" s="107"/>
      <c r="C3679" s="676"/>
      <c r="D3679" s="677"/>
      <c r="E3679" s="677"/>
      <c r="H3679" s="231">
        <f t="shared" si="114"/>
        <v>0</v>
      </c>
      <c r="I3679" s="231">
        <f t="shared" si="115"/>
        <v>0</v>
      </c>
    </row>
    <row r="3680" spans="1:9" hidden="1">
      <c r="A3680" s="1569"/>
      <c r="B3680" s="107"/>
      <c r="C3680" s="676"/>
      <c r="D3680" s="677"/>
      <c r="E3680" s="677"/>
      <c r="H3680" s="231">
        <f t="shared" si="114"/>
        <v>0</v>
      </c>
      <c r="I3680" s="231">
        <f t="shared" si="115"/>
        <v>0</v>
      </c>
    </row>
    <row r="3681" spans="1:9" hidden="1">
      <c r="A3681" s="1569"/>
      <c r="B3681" s="107"/>
      <c r="C3681" s="676"/>
      <c r="D3681" s="677"/>
      <c r="E3681" s="677"/>
      <c r="H3681" s="231">
        <f t="shared" si="114"/>
        <v>0</v>
      </c>
      <c r="I3681" s="231">
        <f t="shared" si="115"/>
        <v>0</v>
      </c>
    </row>
    <row r="3682" spans="1:9" hidden="1">
      <c r="A3682" s="1569"/>
      <c r="B3682" s="107"/>
      <c r="C3682" s="676"/>
      <c r="D3682" s="677"/>
      <c r="E3682" s="677"/>
      <c r="H3682" s="231">
        <f t="shared" si="114"/>
        <v>0</v>
      </c>
      <c r="I3682" s="231">
        <f t="shared" si="115"/>
        <v>0</v>
      </c>
    </row>
    <row r="3683" spans="1:9" s="756" customFormat="1" hidden="1">
      <c r="A3683" s="1569"/>
      <c r="B3683" s="755"/>
      <c r="C3683" s="805"/>
      <c r="D3683" s="805"/>
      <c r="E3683" s="805"/>
      <c r="F3683" s="765"/>
      <c r="G3683" s="765"/>
      <c r="H3683" s="231">
        <f t="shared" si="114"/>
        <v>0</v>
      </c>
      <c r="I3683" s="231">
        <f t="shared" si="115"/>
        <v>0</v>
      </c>
    </row>
    <row r="3684" spans="1:9" hidden="1">
      <c r="A3684" s="1569"/>
      <c r="B3684" s="755"/>
      <c r="C3684" s="805"/>
      <c r="D3684" s="805"/>
      <c r="E3684" s="805"/>
      <c r="F3684" s="765"/>
      <c r="G3684" s="765"/>
      <c r="H3684" s="231">
        <f t="shared" si="114"/>
        <v>0</v>
      </c>
      <c r="I3684" s="231">
        <f t="shared" si="115"/>
        <v>0</v>
      </c>
    </row>
    <row r="3685" spans="1:9" hidden="1">
      <c r="A3685" s="1569"/>
      <c r="B3685" s="371"/>
      <c r="C3685" s="829"/>
      <c r="D3685" s="829"/>
      <c r="E3685" s="829"/>
      <c r="H3685" s="231">
        <f t="shared" si="114"/>
        <v>0</v>
      </c>
      <c r="I3685" s="231">
        <f t="shared" si="115"/>
        <v>0</v>
      </c>
    </row>
    <row r="3686" spans="1:9" hidden="1">
      <c r="A3686" s="1569"/>
      <c r="B3686" s="371"/>
      <c r="C3686" s="829"/>
      <c r="D3686" s="829"/>
      <c r="E3686" s="829"/>
      <c r="H3686" s="231">
        <f t="shared" si="114"/>
        <v>0</v>
      </c>
      <c r="I3686" s="231">
        <f t="shared" si="115"/>
        <v>0</v>
      </c>
    </row>
    <row r="3687" spans="1:9" hidden="1">
      <c r="A3687" s="1569"/>
      <c r="B3687" s="371"/>
      <c r="C3687" s="850"/>
      <c r="D3687" s="850"/>
      <c r="E3687" s="844"/>
      <c r="H3687" s="231">
        <f t="shared" si="114"/>
        <v>0</v>
      </c>
      <c r="I3687" s="231">
        <f t="shared" si="115"/>
        <v>0</v>
      </c>
    </row>
    <row r="3688" spans="1:9" hidden="1">
      <c r="A3688" s="1569"/>
      <c r="B3688" s="371"/>
      <c r="C3688" s="850"/>
      <c r="D3688" s="850"/>
      <c r="E3688" s="844"/>
      <c r="H3688" s="231">
        <f t="shared" si="114"/>
        <v>0</v>
      </c>
      <c r="I3688" s="231">
        <f t="shared" si="115"/>
        <v>0</v>
      </c>
    </row>
    <row r="3689" spans="1:9" hidden="1">
      <c r="A3689" s="1569"/>
      <c r="B3689" s="371"/>
      <c r="C3689" s="850"/>
      <c r="D3689" s="850"/>
      <c r="E3689" s="844"/>
      <c r="H3689" s="231">
        <f t="shared" si="114"/>
        <v>0</v>
      </c>
      <c r="I3689" s="231">
        <f t="shared" si="115"/>
        <v>0</v>
      </c>
    </row>
    <row r="3690" spans="1:9" hidden="1">
      <c r="A3690" s="1569"/>
      <c r="B3690" s="371"/>
      <c r="C3690" s="850"/>
      <c r="D3690" s="850"/>
      <c r="E3690" s="844"/>
      <c r="H3690" s="231">
        <f t="shared" si="114"/>
        <v>0</v>
      </c>
      <c r="I3690" s="231">
        <f t="shared" si="115"/>
        <v>0</v>
      </c>
    </row>
    <row r="3691" spans="1:9" hidden="1">
      <c r="A3691" s="1569"/>
      <c r="B3691" s="371"/>
      <c r="C3691" s="850"/>
      <c r="D3691" s="850"/>
      <c r="E3691" s="844"/>
      <c r="H3691" s="231">
        <f t="shared" si="114"/>
        <v>0</v>
      </c>
      <c r="I3691" s="231">
        <f t="shared" si="115"/>
        <v>0</v>
      </c>
    </row>
    <row r="3692" spans="1:9" hidden="1">
      <c r="A3692" s="1569"/>
      <c r="B3692" s="371"/>
      <c r="C3692" s="850"/>
      <c r="D3692" s="850"/>
      <c r="E3692" s="844"/>
      <c r="H3692" s="231">
        <f t="shared" si="114"/>
        <v>0</v>
      </c>
      <c r="I3692" s="231">
        <f t="shared" si="115"/>
        <v>0</v>
      </c>
    </row>
    <row r="3693" spans="1:9" hidden="1">
      <c r="A3693" s="1569"/>
      <c r="B3693" s="371"/>
      <c r="C3693" s="850"/>
      <c r="D3693" s="850"/>
      <c r="E3693" s="844"/>
      <c r="H3693" s="231">
        <f t="shared" si="114"/>
        <v>0</v>
      </c>
      <c r="I3693" s="231">
        <f t="shared" si="115"/>
        <v>0</v>
      </c>
    </row>
    <row r="3694" spans="1:9" hidden="1">
      <c r="A3694" s="1569"/>
      <c r="B3694" s="371"/>
      <c r="C3694" s="850"/>
      <c r="D3694" s="850"/>
      <c r="E3694" s="844"/>
      <c r="H3694" s="231">
        <f t="shared" si="114"/>
        <v>0</v>
      </c>
      <c r="I3694" s="231">
        <f t="shared" si="115"/>
        <v>0</v>
      </c>
    </row>
    <row r="3695" spans="1:9" hidden="1">
      <c r="A3695" s="1569"/>
      <c r="B3695" s="371"/>
      <c r="C3695" s="850"/>
      <c r="D3695" s="850"/>
      <c r="E3695" s="844"/>
      <c r="H3695" s="231">
        <f t="shared" si="114"/>
        <v>0</v>
      </c>
      <c r="I3695" s="231">
        <f t="shared" si="115"/>
        <v>0</v>
      </c>
    </row>
    <row r="3696" spans="1:9" hidden="1">
      <c r="A3696" s="1569"/>
      <c r="B3696" s="371"/>
      <c r="C3696" s="850"/>
      <c r="D3696" s="850"/>
      <c r="E3696" s="844"/>
      <c r="H3696" s="231">
        <f t="shared" si="114"/>
        <v>0</v>
      </c>
      <c r="I3696" s="231">
        <f t="shared" si="115"/>
        <v>0</v>
      </c>
    </row>
    <row r="3697" spans="1:12" hidden="1">
      <c r="A3697" s="1569"/>
      <c r="B3697" s="371"/>
      <c r="C3697" s="846"/>
      <c r="D3697" s="846"/>
      <c r="E3697" s="848"/>
      <c r="H3697" s="231">
        <f t="shared" si="114"/>
        <v>0</v>
      </c>
      <c r="I3697" s="231">
        <f t="shared" si="115"/>
        <v>0</v>
      </c>
    </row>
    <row r="3698" spans="1:12" hidden="1">
      <c r="A3698" s="1569"/>
      <c r="B3698" s="371"/>
      <c r="C3698" s="849"/>
      <c r="D3698" s="849"/>
      <c r="E3698" s="848"/>
      <c r="H3698" s="231">
        <f t="shared" si="114"/>
        <v>0</v>
      </c>
      <c r="I3698" s="231">
        <f t="shared" si="115"/>
        <v>0</v>
      </c>
    </row>
    <row r="3699" spans="1:12" hidden="1">
      <c r="A3699" s="1569"/>
      <c r="B3699" s="371"/>
      <c r="C3699" s="829"/>
      <c r="D3699" s="829"/>
      <c r="E3699" s="829"/>
      <c r="H3699" s="231">
        <f t="shared" si="114"/>
        <v>0</v>
      </c>
      <c r="I3699" s="231">
        <f t="shared" si="115"/>
        <v>0</v>
      </c>
    </row>
    <row r="3700" spans="1:12" hidden="1">
      <c r="A3700" s="1569"/>
      <c r="B3700" s="371"/>
      <c r="C3700" s="829"/>
      <c r="D3700" s="829"/>
      <c r="E3700" s="829"/>
      <c r="H3700" s="231">
        <f t="shared" si="114"/>
        <v>0</v>
      </c>
      <c r="I3700" s="231">
        <f t="shared" si="115"/>
        <v>0</v>
      </c>
    </row>
    <row r="3701" spans="1:12" hidden="1">
      <c r="A3701" s="1569"/>
      <c r="B3701" s="371"/>
      <c r="C3701" s="829"/>
      <c r="D3701" s="829"/>
      <c r="E3701" s="829"/>
      <c r="H3701" s="231">
        <f t="shared" si="114"/>
        <v>0</v>
      </c>
      <c r="I3701" s="231">
        <f t="shared" si="115"/>
        <v>0</v>
      </c>
    </row>
    <row r="3702" spans="1:12" hidden="1">
      <c r="A3702" s="1569"/>
      <c r="B3702" s="617"/>
      <c r="C3702" s="633"/>
      <c r="D3702" s="633"/>
      <c r="E3702" s="633"/>
      <c r="H3702" s="231">
        <f t="shared" si="114"/>
        <v>0</v>
      </c>
      <c r="I3702" s="231">
        <f t="shared" si="115"/>
        <v>0</v>
      </c>
    </row>
    <row r="3703" spans="1:12" hidden="1">
      <c r="A3703" s="1569"/>
      <c r="B3703" s="617"/>
      <c r="C3703" s="633"/>
      <c r="D3703" s="633"/>
      <c r="E3703" s="633"/>
      <c r="H3703" s="231">
        <f t="shared" si="114"/>
        <v>0</v>
      </c>
      <c r="I3703" s="231">
        <f t="shared" si="115"/>
        <v>0</v>
      </c>
    </row>
    <row r="3704" spans="1:12" hidden="1">
      <c r="A3704" s="1569"/>
      <c r="B3704" s="617"/>
      <c r="C3704" s="633"/>
      <c r="D3704" s="633"/>
      <c r="E3704" s="633"/>
      <c r="H3704" s="231">
        <f t="shared" si="114"/>
        <v>0</v>
      </c>
      <c r="I3704" s="231">
        <f t="shared" si="115"/>
        <v>0</v>
      </c>
    </row>
    <row r="3705" spans="1:12" hidden="1">
      <c r="A3705" s="1569"/>
      <c r="B3705" s="617"/>
      <c r="C3705" s="633"/>
      <c r="D3705" s="633"/>
      <c r="E3705" s="633"/>
      <c r="H3705" s="231">
        <f t="shared" si="114"/>
        <v>0</v>
      </c>
      <c r="I3705" s="231">
        <f t="shared" si="115"/>
        <v>0</v>
      </c>
    </row>
    <row r="3706" spans="1:12" hidden="1">
      <c r="A3706" s="1569"/>
      <c r="B3706" s="617"/>
      <c r="C3706" s="633"/>
      <c r="D3706" s="633"/>
      <c r="E3706" s="633"/>
      <c r="H3706" s="231">
        <f t="shared" si="114"/>
        <v>0</v>
      </c>
      <c r="I3706" s="231">
        <f t="shared" si="115"/>
        <v>0</v>
      </c>
    </row>
    <row r="3707" spans="1:12" hidden="1">
      <c r="A3707" s="1569"/>
      <c r="B3707" s="107"/>
      <c r="C3707" s="654"/>
      <c r="D3707" s="654"/>
      <c r="E3707" s="256"/>
      <c r="H3707" s="231">
        <f t="shared" si="114"/>
        <v>0</v>
      </c>
      <c r="I3707" s="231">
        <f t="shared" si="115"/>
        <v>0</v>
      </c>
    </row>
    <row r="3708" spans="1:12">
      <c r="A3708" s="1659"/>
      <c r="B3708" s="209" t="s">
        <v>985</v>
      </c>
      <c r="C3708" s="581">
        <f>SUM(C3641:C3707)</f>
        <v>757773</v>
      </c>
      <c r="D3708" s="581">
        <f>SUM(D3641:D3707)</f>
        <v>202373</v>
      </c>
      <c r="E3708" s="581">
        <f>SUM(E3641:E3707)</f>
        <v>555400</v>
      </c>
      <c r="H3708" s="1497">
        <f t="shared" si="114"/>
        <v>0</v>
      </c>
      <c r="I3708" s="1497">
        <f t="shared" si="115"/>
        <v>1515546</v>
      </c>
      <c r="J3708" s="1440"/>
      <c r="K3708" s="1490"/>
      <c r="L3708" s="1490"/>
    </row>
    <row r="3709" spans="1:12" ht="93.75">
      <c r="A3709" s="1568" t="s">
        <v>1124</v>
      </c>
      <c r="B3709" s="1215" t="s">
        <v>1417</v>
      </c>
      <c r="C3709" s="1214">
        <v>200000</v>
      </c>
      <c r="D3709" s="256">
        <v>200000</v>
      </c>
      <c r="E3709" s="256"/>
      <c r="H3709" s="1497">
        <f t="shared" si="114"/>
        <v>0</v>
      </c>
      <c r="I3709" s="1497">
        <f t="shared" si="115"/>
        <v>400000</v>
      </c>
      <c r="J3709" s="1440"/>
      <c r="K3709" s="1490"/>
      <c r="L3709" s="1490"/>
    </row>
    <row r="3710" spans="1:12" ht="37.5">
      <c r="A3710" s="1569"/>
      <c r="B3710" s="1215" t="s">
        <v>1418</v>
      </c>
      <c r="C3710" s="1214">
        <v>20000</v>
      </c>
      <c r="D3710" s="256"/>
      <c r="E3710" s="256">
        <v>20000</v>
      </c>
      <c r="H3710" s="1497">
        <f t="shared" si="114"/>
        <v>0</v>
      </c>
      <c r="I3710" s="1497">
        <f t="shared" si="115"/>
        <v>40000</v>
      </c>
      <c r="J3710" s="1440"/>
      <c r="K3710" s="1490"/>
      <c r="L3710" s="1490"/>
    </row>
    <row r="3711" spans="1:12" ht="37.5">
      <c r="A3711" s="1569"/>
      <c r="B3711" s="1215" t="s">
        <v>1419</v>
      </c>
      <c r="C3711" s="1214">
        <v>20000</v>
      </c>
      <c r="D3711" s="256">
        <v>20000</v>
      </c>
      <c r="E3711" s="256"/>
      <c r="H3711" s="1497">
        <f t="shared" si="114"/>
        <v>0</v>
      </c>
      <c r="I3711" s="1497">
        <f t="shared" si="115"/>
        <v>40000</v>
      </c>
      <c r="J3711" s="1440"/>
      <c r="K3711" s="1490"/>
      <c r="L3711" s="1490"/>
    </row>
    <row r="3712" spans="1:12" ht="56.25">
      <c r="A3712" s="1569"/>
      <c r="B3712" s="1215" t="s">
        <v>1420</v>
      </c>
      <c r="C3712" s="1214">
        <v>20000</v>
      </c>
      <c r="D3712" s="256">
        <v>20000</v>
      </c>
      <c r="E3712" s="256"/>
      <c r="H3712" s="1497">
        <f t="shared" si="114"/>
        <v>0</v>
      </c>
      <c r="I3712" s="1497">
        <f t="shared" si="115"/>
        <v>40000</v>
      </c>
      <c r="J3712" s="1440"/>
      <c r="K3712" s="1490"/>
      <c r="L3712" s="1490"/>
    </row>
    <row r="3713" spans="1:12" ht="56.25">
      <c r="A3713" s="1569"/>
      <c r="B3713" s="1215" t="s">
        <v>1421</v>
      </c>
      <c r="C3713" s="1214">
        <v>10000</v>
      </c>
      <c r="D3713" s="256">
        <v>10000</v>
      </c>
      <c r="E3713" s="256"/>
      <c r="H3713" s="1497">
        <f t="shared" si="114"/>
        <v>0</v>
      </c>
      <c r="I3713" s="1497">
        <f t="shared" si="115"/>
        <v>20000</v>
      </c>
      <c r="J3713" s="1440"/>
      <c r="K3713" s="1490"/>
      <c r="L3713" s="1490"/>
    </row>
    <row r="3714" spans="1:12" ht="56.25">
      <c r="A3714" s="1569"/>
      <c r="B3714" s="1215" t="s">
        <v>1422</v>
      </c>
      <c r="C3714" s="1214">
        <v>20000</v>
      </c>
      <c r="D3714" s="256">
        <v>20000</v>
      </c>
      <c r="E3714" s="256"/>
      <c r="H3714" s="1497">
        <f t="shared" si="114"/>
        <v>0</v>
      </c>
      <c r="I3714" s="1497">
        <f t="shared" si="115"/>
        <v>40000</v>
      </c>
      <c r="J3714" s="1440"/>
      <c r="K3714" s="1490"/>
      <c r="L3714" s="1490"/>
    </row>
    <row r="3715" spans="1:12" ht="56.25">
      <c r="A3715" s="1569"/>
      <c r="B3715" s="1215" t="s">
        <v>1423</v>
      </c>
      <c r="C3715" s="1214">
        <v>15000</v>
      </c>
      <c r="D3715" s="256">
        <v>15000</v>
      </c>
      <c r="E3715" s="256"/>
      <c r="H3715" s="1497">
        <f t="shared" si="114"/>
        <v>0</v>
      </c>
      <c r="I3715" s="1497">
        <f t="shared" si="115"/>
        <v>30000</v>
      </c>
      <c r="J3715" s="1440"/>
      <c r="K3715" s="1490"/>
      <c r="L3715" s="1490"/>
    </row>
    <row r="3716" spans="1:12" ht="112.5">
      <c r="A3716" s="1569"/>
      <c r="B3716" s="425" t="s">
        <v>1839</v>
      </c>
      <c r="C3716" s="817">
        <v>65000</v>
      </c>
      <c r="D3716" s="817">
        <v>65000</v>
      </c>
      <c r="E3716" s="184"/>
      <c r="H3716" s="1497">
        <f t="shared" si="114"/>
        <v>0</v>
      </c>
      <c r="I3716" s="1497">
        <f t="shared" si="115"/>
        <v>130000</v>
      </c>
      <c r="J3716" s="1440"/>
      <c r="K3716" s="1490"/>
      <c r="L3716" s="1490"/>
    </row>
    <row r="3717" spans="1:12" ht="75">
      <c r="A3717" s="1569"/>
      <c r="B3717" s="425" t="s">
        <v>1840</v>
      </c>
      <c r="C3717" s="817">
        <v>64000</v>
      </c>
      <c r="D3717" s="817"/>
      <c r="E3717" s="184">
        <v>64000</v>
      </c>
      <c r="H3717" s="1497">
        <f t="shared" si="114"/>
        <v>0</v>
      </c>
      <c r="I3717" s="1497">
        <f t="shared" si="115"/>
        <v>128000</v>
      </c>
      <c r="J3717" s="1440"/>
      <c r="K3717" s="1490"/>
      <c r="L3717" s="1490"/>
    </row>
    <row r="3718" spans="1:12" ht="131.25">
      <c r="A3718" s="1569"/>
      <c r="B3718" s="425" t="s">
        <v>1841</v>
      </c>
      <c r="C3718" s="817">
        <v>50000</v>
      </c>
      <c r="D3718" s="817">
        <v>50000</v>
      </c>
      <c r="E3718" s="184"/>
      <c r="H3718" s="1497">
        <f t="shared" si="114"/>
        <v>0</v>
      </c>
      <c r="I3718" s="1497">
        <f t="shared" si="115"/>
        <v>100000</v>
      </c>
      <c r="J3718" s="1440"/>
      <c r="K3718" s="1490"/>
      <c r="L3718" s="1490"/>
    </row>
    <row r="3719" spans="1:12" ht="93.75">
      <c r="A3719" s="1569"/>
      <c r="B3719" s="425" t="s">
        <v>1842</v>
      </c>
      <c r="C3719" s="817">
        <v>18112</v>
      </c>
      <c r="D3719" s="817">
        <v>18112</v>
      </c>
      <c r="E3719" s="184"/>
      <c r="H3719" s="1497">
        <f t="shared" si="114"/>
        <v>0</v>
      </c>
      <c r="I3719" s="1497">
        <f t="shared" si="115"/>
        <v>36224</v>
      </c>
      <c r="J3719" s="1440"/>
      <c r="K3719" s="1490"/>
      <c r="L3719" s="1490"/>
    </row>
    <row r="3720" spans="1:12" ht="56.25">
      <c r="A3720" s="1569"/>
      <c r="B3720" s="107" t="s">
        <v>1843</v>
      </c>
      <c r="C3720" s="1226">
        <v>10000</v>
      </c>
      <c r="D3720" s="1226"/>
      <c r="E3720" s="1227">
        <v>10000</v>
      </c>
      <c r="H3720" s="1497">
        <f t="shared" si="114"/>
        <v>0</v>
      </c>
      <c r="I3720" s="1497">
        <f t="shared" si="115"/>
        <v>20000</v>
      </c>
      <c r="J3720" s="1440"/>
      <c r="K3720" s="1490"/>
      <c r="L3720" s="1490"/>
    </row>
    <row r="3721" spans="1:12" ht="56.25">
      <c r="A3721" s="1569"/>
      <c r="B3721" s="107" t="s">
        <v>1844</v>
      </c>
      <c r="C3721" s="1226">
        <v>15000</v>
      </c>
      <c r="D3721" s="1226">
        <v>15000</v>
      </c>
      <c r="E3721" s="1227"/>
      <c r="H3721" s="1497">
        <f t="shared" ref="H3721:H3784" si="116">E3721+D3721-C3721</f>
        <v>0</v>
      </c>
      <c r="I3721" s="1497">
        <f t="shared" ref="I3721:I3784" si="117">SUM(C3721:E3721)</f>
        <v>30000</v>
      </c>
      <c r="J3721" s="1440"/>
      <c r="K3721" s="1490"/>
      <c r="L3721" s="1490"/>
    </row>
    <row r="3722" spans="1:12" ht="93.75">
      <c r="A3722" s="1569"/>
      <c r="B3722" s="107" t="s">
        <v>1845</v>
      </c>
      <c r="C3722" s="1226">
        <v>10000</v>
      </c>
      <c r="D3722" s="1226"/>
      <c r="E3722" s="1227">
        <v>10000</v>
      </c>
      <c r="H3722" s="1497">
        <f t="shared" si="116"/>
        <v>0</v>
      </c>
      <c r="I3722" s="1497">
        <f t="shared" si="117"/>
        <v>20000</v>
      </c>
      <c r="J3722" s="1440"/>
      <c r="K3722" s="1490"/>
      <c r="L3722" s="1490"/>
    </row>
    <row r="3723" spans="1:12" ht="75">
      <c r="A3723" s="1569"/>
      <c r="B3723" s="107" t="s">
        <v>1846</v>
      </c>
      <c r="C3723" s="1226">
        <v>18000</v>
      </c>
      <c r="D3723" s="1226"/>
      <c r="E3723" s="1227">
        <v>18000</v>
      </c>
      <c r="H3723" s="1497">
        <f t="shared" si="116"/>
        <v>0</v>
      </c>
      <c r="I3723" s="1497">
        <f t="shared" si="117"/>
        <v>36000</v>
      </c>
      <c r="J3723" s="1440"/>
      <c r="K3723" s="1490"/>
      <c r="L3723" s="1490"/>
    </row>
    <row r="3724" spans="1:12" ht="56.25">
      <c r="A3724" s="1569"/>
      <c r="B3724" s="107" t="s">
        <v>1847</v>
      </c>
      <c r="C3724" s="1226">
        <v>10000</v>
      </c>
      <c r="D3724" s="1226"/>
      <c r="E3724" s="1227">
        <v>10000</v>
      </c>
      <c r="H3724" s="1497">
        <f t="shared" si="116"/>
        <v>0</v>
      </c>
      <c r="I3724" s="1497">
        <f t="shared" si="117"/>
        <v>20000</v>
      </c>
      <c r="J3724" s="1440"/>
      <c r="K3724" s="1490"/>
      <c r="L3724" s="1490"/>
    </row>
    <row r="3725" spans="1:12" ht="75">
      <c r="A3725" s="1569"/>
      <c r="B3725" s="425" t="s">
        <v>1848</v>
      </c>
      <c r="C3725" s="817">
        <v>25000</v>
      </c>
      <c r="D3725" s="1226">
        <v>10000</v>
      </c>
      <c r="E3725" s="1227">
        <v>15000</v>
      </c>
      <c r="H3725" s="1497">
        <f t="shared" si="116"/>
        <v>0</v>
      </c>
      <c r="I3725" s="1497">
        <f t="shared" si="117"/>
        <v>50000</v>
      </c>
      <c r="J3725" s="1440"/>
      <c r="K3725" s="1490"/>
      <c r="L3725" s="1490"/>
    </row>
    <row r="3726" spans="1:12" ht="37.5">
      <c r="A3726" s="1569"/>
      <c r="B3726" s="425" t="s">
        <v>1849</v>
      </c>
      <c r="C3726" s="817">
        <v>9560</v>
      </c>
      <c r="D3726" s="817">
        <v>9560</v>
      </c>
      <c r="E3726" s="184"/>
      <c r="H3726" s="1497">
        <f t="shared" si="116"/>
        <v>0</v>
      </c>
      <c r="I3726" s="1497">
        <f t="shared" si="117"/>
        <v>19120</v>
      </c>
      <c r="J3726" s="1440"/>
      <c r="K3726" s="1490"/>
      <c r="L3726" s="1490"/>
    </row>
    <row r="3727" spans="1:12" ht="56.25">
      <c r="A3727" s="1569"/>
      <c r="B3727" s="425" t="s">
        <v>1850</v>
      </c>
      <c r="C3727" s="817">
        <v>20000</v>
      </c>
      <c r="D3727" s="817">
        <v>20000</v>
      </c>
      <c r="E3727" s="184"/>
      <c r="H3727" s="1497">
        <f t="shared" si="116"/>
        <v>0</v>
      </c>
      <c r="I3727" s="1497">
        <f t="shared" si="117"/>
        <v>40000</v>
      </c>
      <c r="J3727" s="1440"/>
      <c r="K3727" s="1490"/>
      <c r="L3727" s="1490"/>
    </row>
    <row r="3728" spans="1:12" ht="75">
      <c r="A3728" s="1569"/>
      <c r="B3728" s="425" t="s">
        <v>1851</v>
      </c>
      <c r="C3728" s="817">
        <v>19000</v>
      </c>
      <c r="D3728" s="817">
        <v>19000</v>
      </c>
      <c r="E3728" s="184"/>
      <c r="H3728" s="1497">
        <f t="shared" si="116"/>
        <v>0</v>
      </c>
      <c r="I3728" s="1497">
        <f t="shared" si="117"/>
        <v>38000</v>
      </c>
      <c r="J3728" s="1440"/>
      <c r="K3728" s="1490"/>
      <c r="L3728" s="1490"/>
    </row>
    <row r="3729" spans="1:12" ht="56.25">
      <c r="A3729" s="1569"/>
      <c r="B3729" s="425" t="s">
        <v>1852</v>
      </c>
      <c r="C3729" s="817">
        <v>10000</v>
      </c>
      <c r="D3729" s="817">
        <v>10000</v>
      </c>
      <c r="E3729" s="184"/>
      <c r="H3729" s="1497">
        <f t="shared" si="116"/>
        <v>0</v>
      </c>
      <c r="I3729" s="1497">
        <f t="shared" si="117"/>
        <v>20000</v>
      </c>
      <c r="J3729" s="1440"/>
      <c r="K3729" s="1490"/>
      <c r="L3729" s="1490"/>
    </row>
    <row r="3730" spans="1:12" ht="56.25">
      <c r="A3730" s="1569"/>
      <c r="B3730" s="425" t="s">
        <v>1853</v>
      </c>
      <c r="C3730" s="817">
        <v>10000</v>
      </c>
      <c r="D3730" s="817">
        <v>10000</v>
      </c>
      <c r="E3730" s="184"/>
      <c r="H3730" s="1497">
        <f t="shared" si="116"/>
        <v>0</v>
      </c>
      <c r="I3730" s="1497">
        <f t="shared" si="117"/>
        <v>20000</v>
      </c>
      <c r="J3730" s="1440"/>
      <c r="K3730" s="1490"/>
      <c r="L3730" s="1490"/>
    </row>
    <row r="3731" spans="1:12" ht="75">
      <c r="A3731" s="1569"/>
      <c r="B3731" s="425" t="s">
        <v>1854</v>
      </c>
      <c r="C3731" s="817">
        <v>20000</v>
      </c>
      <c r="D3731" s="817">
        <v>20000</v>
      </c>
      <c r="E3731" s="184"/>
      <c r="H3731" s="1497">
        <f t="shared" si="116"/>
        <v>0</v>
      </c>
      <c r="I3731" s="1497">
        <f t="shared" si="117"/>
        <v>40000</v>
      </c>
      <c r="J3731" s="1440"/>
      <c r="K3731" s="1490"/>
      <c r="L3731" s="1490"/>
    </row>
    <row r="3732" spans="1:12" hidden="1">
      <c r="A3732" s="1569"/>
      <c r="B3732" s="425"/>
      <c r="C3732" s="589"/>
      <c r="D3732" s="589"/>
      <c r="E3732" s="510"/>
      <c r="H3732" s="231">
        <f t="shared" si="116"/>
        <v>0</v>
      </c>
      <c r="I3732" s="231">
        <f t="shared" si="117"/>
        <v>0</v>
      </c>
    </row>
    <row r="3733" spans="1:12" hidden="1">
      <c r="A3733" s="1569"/>
      <c r="B3733" s="107"/>
      <c r="C3733" s="589"/>
      <c r="D3733" s="589"/>
      <c r="E3733" s="510"/>
      <c r="H3733" s="231">
        <f t="shared" si="116"/>
        <v>0</v>
      </c>
      <c r="I3733" s="231">
        <f t="shared" si="117"/>
        <v>0</v>
      </c>
    </row>
    <row r="3734" spans="1:12" hidden="1">
      <c r="A3734" s="1569"/>
      <c r="B3734" s="107"/>
      <c r="C3734" s="589"/>
      <c r="D3734" s="589"/>
      <c r="E3734" s="510"/>
      <c r="H3734" s="231">
        <f t="shared" si="116"/>
        <v>0</v>
      </c>
      <c r="I3734" s="231">
        <f t="shared" si="117"/>
        <v>0</v>
      </c>
    </row>
    <row r="3735" spans="1:12" hidden="1">
      <c r="A3735" s="1569"/>
      <c r="B3735" s="107"/>
      <c r="C3735" s="589"/>
      <c r="D3735" s="589"/>
      <c r="E3735" s="510"/>
      <c r="H3735" s="231">
        <f t="shared" si="116"/>
        <v>0</v>
      </c>
      <c r="I3735" s="231">
        <f t="shared" si="117"/>
        <v>0</v>
      </c>
    </row>
    <row r="3736" spans="1:12" hidden="1">
      <c r="A3736" s="1569"/>
      <c r="B3736" s="107"/>
      <c r="C3736" s="589"/>
      <c r="D3736" s="589"/>
      <c r="E3736" s="589"/>
      <c r="H3736" s="231">
        <f t="shared" si="116"/>
        <v>0</v>
      </c>
      <c r="I3736" s="231">
        <f t="shared" si="117"/>
        <v>0</v>
      </c>
    </row>
    <row r="3737" spans="1:12" hidden="1">
      <c r="A3737" s="1569"/>
      <c r="B3737" s="107"/>
      <c r="C3737" s="589"/>
      <c r="D3737" s="589"/>
      <c r="E3737" s="589"/>
      <c r="H3737" s="231">
        <f t="shared" si="116"/>
        <v>0</v>
      </c>
      <c r="I3737" s="231">
        <f t="shared" si="117"/>
        <v>0</v>
      </c>
    </row>
    <row r="3738" spans="1:12" hidden="1">
      <c r="A3738" s="1569"/>
      <c r="B3738" s="107"/>
      <c r="C3738" s="589"/>
      <c r="D3738" s="589"/>
      <c r="E3738" s="589"/>
      <c r="H3738" s="231">
        <f t="shared" si="116"/>
        <v>0</v>
      </c>
      <c r="I3738" s="231">
        <f t="shared" si="117"/>
        <v>0</v>
      </c>
    </row>
    <row r="3739" spans="1:12" hidden="1">
      <c r="A3739" s="1569"/>
      <c r="B3739" s="770"/>
      <c r="C3739" s="771"/>
      <c r="D3739" s="771"/>
      <c r="E3739" s="772"/>
      <c r="H3739" s="231">
        <f t="shared" si="116"/>
        <v>0</v>
      </c>
      <c r="I3739" s="231">
        <f t="shared" si="117"/>
        <v>0</v>
      </c>
    </row>
    <row r="3740" spans="1:12" hidden="1">
      <c r="A3740" s="1569"/>
      <c r="B3740" s="371"/>
      <c r="C3740" s="850"/>
      <c r="D3740" s="850"/>
      <c r="E3740" s="844"/>
      <c r="F3740" s="780"/>
      <c r="H3740" s="231">
        <f t="shared" si="116"/>
        <v>0</v>
      </c>
      <c r="I3740" s="231">
        <f t="shared" si="117"/>
        <v>0</v>
      </c>
    </row>
    <row r="3741" spans="1:12" hidden="1">
      <c r="A3741" s="1569"/>
      <c r="B3741" s="371"/>
      <c r="C3741" s="833"/>
      <c r="D3741" s="833"/>
      <c r="E3741" s="833"/>
      <c r="F3741" s="780"/>
      <c r="H3741" s="231">
        <f t="shared" si="116"/>
        <v>0</v>
      </c>
      <c r="I3741" s="231">
        <f t="shared" si="117"/>
        <v>0</v>
      </c>
    </row>
    <row r="3742" spans="1:12" hidden="1">
      <c r="A3742" s="1569"/>
      <c r="B3742" s="770"/>
      <c r="C3742" s="771"/>
      <c r="D3742" s="771"/>
      <c r="E3742" s="772"/>
      <c r="F3742" s="780"/>
      <c r="H3742" s="231">
        <f t="shared" si="116"/>
        <v>0</v>
      </c>
      <c r="I3742" s="231">
        <f t="shared" si="117"/>
        <v>0</v>
      </c>
    </row>
    <row r="3743" spans="1:12" hidden="1">
      <c r="A3743" s="1569"/>
      <c r="B3743" s="107"/>
      <c r="C3743" s="589"/>
      <c r="D3743" s="589"/>
      <c r="E3743" s="510"/>
      <c r="H3743" s="231">
        <f t="shared" si="116"/>
        <v>0</v>
      </c>
      <c r="I3743" s="231">
        <f t="shared" si="117"/>
        <v>0</v>
      </c>
    </row>
    <row r="3744" spans="1:12" hidden="1">
      <c r="A3744" s="1569"/>
      <c r="B3744" s="562"/>
      <c r="C3744" s="604"/>
      <c r="D3744" s="604"/>
      <c r="E3744" s="648"/>
      <c r="H3744" s="231">
        <f t="shared" si="116"/>
        <v>0</v>
      </c>
      <c r="I3744" s="231">
        <f t="shared" si="117"/>
        <v>0</v>
      </c>
    </row>
    <row r="3745" spans="1:9" hidden="1">
      <c r="A3745" s="1569"/>
      <c r="B3745" s="562"/>
      <c r="C3745" s="604"/>
      <c r="D3745" s="604"/>
      <c r="E3745" s="648"/>
      <c r="H3745" s="231">
        <f t="shared" si="116"/>
        <v>0</v>
      </c>
      <c r="I3745" s="231">
        <f t="shared" si="117"/>
        <v>0</v>
      </c>
    </row>
    <row r="3746" spans="1:9" hidden="1">
      <c r="A3746" s="1569"/>
      <c r="B3746" s="107"/>
      <c r="C3746" s="649"/>
      <c r="D3746" s="649"/>
      <c r="E3746" s="256"/>
      <c r="H3746" s="231">
        <f t="shared" si="116"/>
        <v>0</v>
      </c>
      <c r="I3746" s="231">
        <f t="shared" si="117"/>
        <v>0</v>
      </c>
    </row>
    <row r="3747" spans="1:9" hidden="1">
      <c r="A3747" s="1569"/>
      <c r="B3747" s="107"/>
      <c r="C3747" s="649"/>
      <c r="D3747" s="649"/>
      <c r="E3747" s="256"/>
      <c r="H3747" s="231">
        <f t="shared" si="116"/>
        <v>0</v>
      </c>
      <c r="I3747" s="231">
        <f t="shared" si="117"/>
        <v>0</v>
      </c>
    </row>
    <row r="3748" spans="1:9" hidden="1">
      <c r="A3748" s="1569"/>
      <c r="B3748" s="107"/>
      <c r="C3748" s="649"/>
      <c r="D3748" s="649"/>
      <c r="E3748" s="256"/>
      <c r="H3748" s="231">
        <f t="shared" si="116"/>
        <v>0</v>
      </c>
      <c r="I3748" s="231">
        <f t="shared" si="117"/>
        <v>0</v>
      </c>
    </row>
    <row r="3749" spans="1:9" hidden="1">
      <c r="A3749" s="1569"/>
      <c r="B3749" s="107"/>
      <c r="C3749" s="256"/>
      <c r="D3749" s="256"/>
      <c r="E3749" s="256"/>
      <c r="H3749" s="231">
        <f t="shared" si="116"/>
        <v>0</v>
      </c>
      <c r="I3749" s="231">
        <f t="shared" si="117"/>
        <v>0</v>
      </c>
    </row>
    <row r="3750" spans="1:9" hidden="1">
      <c r="A3750" s="1569"/>
      <c r="B3750" s="107"/>
      <c r="C3750" s="649"/>
      <c r="D3750" s="649"/>
      <c r="E3750" s="256"/>
      <c r="H3750" s="231">
        <f t="shared" si="116"/>
        <v>0</v>
      </c>
      <c r="I3750" s="231">
        <f t="shared" si="117"/>
        <v>0</v>
      </c>
    </row>
    <row r="3751" spans="1:9" hidden="1">
      <c r="A3751" s="1569"/>
      <c r="B3751" s="107"/>
      <c r="C3751" s="701"/>
      <c r="D3751" s="649"/>
      <c r="E3751" s="256"/>
      <c r="H3751" s="231">
        <f t="shared" si="116"/>
        <v>0</v>
      </c>
      <c r="I3751" s="231">
        <f t="shared" si="117"/>
        <v>0</v>
      </c>
    </row>
    <row r="3752" spans="1:9" hidden="1">
      <c r="A3752" s="1569"/>
      <c r="B3752" s="532"/>
      <c r="C3752" s="701"/>
      <c r="D3752" s="701"/>
      <c r="E3752" s="580"/>
      <c r="H3752" s="231">
        <f t="shared" si="116"/>
        <v>0</v>
      </c>
      <c r="I3752" s="231">
        <f t="shared" si="117"/>
        <v>0</v>
      </c>
    </row>
    <row r="3753" spans="1:9" hidden="1">
      <c r="A3753" s="1569"/>
      <c r="B3753" s="642"/>
      <c r="C3753" s="701"/>
      <c r="D3753" s="649"/>
      <c r="E3753" s="256"/>
      <c r="H3753" s="231">
        <f t="shared" si="116"/>
        <v>0</v>
      </c>
      <c r="I3753" s="231">
        <f t="shared" si="117"/>
        <v>0</v>
      </c>
    </row>
    <row r="3754" spans="1:9" hidden="1">
      <c r="A3754" s="1569"/>
      <c r="B3754" s="642"/>
      <c r="C3754" s="701"/>
      <c r="D3754" s="649"/>
      <c r="E3754" s="256"/>
      <c r="H3754" s="231">
        <f t="shared" si="116"/>
        <v>0</v>
      </c>
      <c r="I3754" s="231">
        <f t="shared" si="117"/>
        <v>0</v>
      </c>
    </row>
    <row r="3755" spans="1:9" hidden="1">
      <c r="A3755" s="1569"/>
      <c r="B3755" s="642"/>
      <c r="C3755" s="701"/>
      <c r="D3755" s="649"/>
      <c r="E3755" s="256"/>
      <c r="H3755" s="231">
        <f t="shared" si="116"/>
        <v>0</v>
      </c>
      <c r="I3755" s="231">
        <f t="shared" si="117"/>
        <v>0</v>
      </c>
    </row>
    <row r="3756" spans="1:9" hidden="1">
      <c r="A3756" s="1569"/>
      <c r="B3756" s="532"/>
      <c r="C3756" s="701"/>
      <c r="D3756" s="649"/>
      <c r="E3756" s="256"/>
      <c r="H3756" s="231">
        <f t="shared" si="116"/>
        <v>0</v>
      </c>
      <c r="I3756" s="231">
        <f t="shared" si="117"/>
        <v>0</v>
      </c>
    </row>
    <row r="3757" spans="1:9" hidden="1">
      <c r="A3757" s="1569"/>
      <c r="B3757" s="425"/>
      <c r="C3757" s="701"/>
      <c r="D3757" s="649"/>
      <c r="E3757" s="256"/>
      <c r="H3757" s="231">
        <f t="shared" si="116"/>
        <v>0</v>
      </c>
      <c r="I3757" s="231">
        <f t="shared" si="117"/>
        <v>0</v>
      </c>
    </row>
    <row r="3758" spans="1:9" hidden="1">
      <c r="A3758" s="1569"/>
      <c r="B3758" s="425"/>
      <c r="C3758" s="701"/>
      <c r="D3758" s="649"/>
      <c r="E3758" s="256"/>
      <c r="H3758" s="231">
        <f t="shared" si="116"/>
        <v>0</v>
      </c>
      <c r="I3758" s="231">
        <f t="shared" si="117"/>
        <v>0</v>
      </c>
    </row>
    <row r="3759" spans="1:9" hidden="1">
      <c r="A3759" s="1569"/>
      <c r="B3759" s="425"/>
      <c r="C3759" s="701"/>
      <c r="D3759" s="649"/>
      <c r="E3759" s="256"/>
      <c r="H3759" s="231">
        <f t="shared" si="116"/>
        <v>0</v>
      </c>
      <c r="I3759" s="231">
        <f t="shared" si="117"/>
        <v>0</v>
      </c>
    </row>
    <row r="3760" spans="1:9" hidden="1">
      <c r="A3760" s="1569"/>
      <c r="B3760" s="425"/>
      <c r="C3760" s="701"/>
      <c r="D3760" s="649"/>
      <c r="E3760" s="256"/>
      <c r="H3760" s="231">
        <f t="shared" si="116"/>
        <v>0</v>
      </c>
      <c r="I3760" s="231">
        <f t="shared" si="117"/>
        <v>0</v>
      </c>
    </row>
    <row r="3761" spans="1:9" hidden="1">
      <c r="A3761" s="1569"/>
      <c r="B3761" s="425"/>
      <c r="C3761" s="701"/>
      <c r="D3761" s="649"/>
      <c r="E3761" s="256"/>
      <c r="H3761" s="231">
        <f t="shared" si="116"/>
        <v>0</v>
      </c>
      <c r="I3761" s="231">
        <f t="shared" si="117"/>
        <v>0</v>
      </c>
    </row>
    <row r="3762" spans="1:9" hidden="1">
      <c r="A3762" s="1569"/>
      <c r="B3762" s="425"/>
      <c r="C3762" s="701"/>
      <c r="D3762" s="649"/>
      <c r="E3762" s="256"/>
      <c r="H3762" s="231">
        <f t="shared" si="116"/>
        <v>0</v>
      </c>
      <c r="I3762" s="231">
        <f t="shared" si="117"/>
        <v>0</v>
      </c>
    </row>
    <row r="3763" spans="1:9" hidden="1">
      <c r="A3763" s="1569"/>
      <c r="B3763" s="425"/>
      <c r="C3763" s="701"/>
      <c r="D3763" s="649"/>
      <c r="E3763" s="256"/>
      <c r="H3763" s="231">
        <f t="shared" si="116"/>
        <v>0</v>
      </c>
      <c r="I3763" s="231">
        <f t="shared" si="117"/>
        <v>0</v>
      </c>
    </row>
    <row r="3764" spans="1:9" hidden="1">
      <c r="A3764" s="1569"/>
      <c r="B3764" s="425"/>
      <c r="C3764" s="701"/>
      <c r="D3764" s="649"/>
      <c r="E3764" s="256"/>
      <c r="H3764" s="231">
        <f t="shared" si="116"/>
        <v>0</v>
      </c>
      <c r="I3764" s="231">
        <f t="shared" si="117"/>
        <v>0</v>
      </c>
    </row>
    <row r="3765" spans="1:9" hidden="1">
      <c r="A3765" s="1569"/>
      <c r="B3765" s="425"/>
      <c r="C3765" s="701"/>
      <c r="D3765" s="649"/>
      <c r="E3765" s="256"/>
      <c r="H3765" s="231">
        <f t="shared" si="116"/>
        <v>0</v>
      </c>
      <c r="I3765" s="231">
        <f t="shared" si="117"/>
        <v>0</v>
      </c>
    </row>
    <row r="3766" spans="1:9" hidden="1">
      <c r="A3766" s="1569"/>
      <c r="B3766" s="107"/>
      <c r="C3766" s="649"/>
      <c r="D3766" s="649"/>
      <c r="E3766" s="256"/>
      <c r="H3766" s="231">
        <f t="shared" si="116"/>
        <v>0</v>
      </c>
      <c r="I3766" s="231">
        <f t="shared" si="117"/>
        <v>0</v>
      </c>
    </row>
    <row r="3767" spans="1:9" hidden="1">
      <c r="A3767" s="1569"/>
      <c r="B3767" s="107"/>
      <c r="C3767" s="649"/>
      <c r="D3767" s="649"/>
      <c r="E3767" s="256"/>
      <c r="H3767" s="231">
        <f t="shared" si="116"/>
        <v>0</v>
      </c>
      <c r="I3767" s="231">
        <f t="shared" si="117"/>
        <v>0</v>
      </c>
    </row>
    <row r="3768" spans="1:9" hidden="1">
      <c r="A3768" s="1569"/>
      <c r="B3768" s="107"/>
      <c r="C3768" s="649"/>
      <c r="D3768" s="649"/>
      <c r="E3768" s="256"/>
      <c r="H3768" s="231">
        <f t="shared" si="116"/>
        <v>0</v>
      </c>
      <c r="I3768" s="231">
        <f t="shared" si="117"/>
        <v>0</v>
      </c>
    </row>
    <row r="3769" spans="1:9" hidden="1">
      <c r="A3769" s="1569"/>
      <c r="B3769" s="107"/>
      <c r="C3769" s="649"/>
      <c r="D3769" s="649"/>
      <c r="E3769" s="256"/>
      <c r="H3769" s="231">
        <f t="shared" si="116"/>
        <v>0</v>
      </c>
      <c r="I3769" s="231">
        <f t="shared" si="117"/>
        <v>0</v>
      </c>
    </row>
    <row r="3770" spans="1:9" hidden="1">
      <c r="A3770" s="1569"/>
      <c r="B3770" s="107"/>
      <c r="C3770" s="649"/>
      <c r="D3770" s="649"/>
      <c r="E3770" s="256"/>
      <c r="H3770" s="231">
        <f t="shared" si="116"/>
        <v>0</v>
      </c>
      <c r="I3770" s="231">
        <f t="shared" si="117"/>
        <v>0</v>
      </c>
    </row>
    <row r="3771" spans="1:9" hidden="1">
      <c r="A3771" s="1569"/>
      <c r="B3771" s="107"/>
      <c r="C3771" s="649"/>
      <c r="D3771" s="649"/>
      <c r="E3771" s="256"/>
      <c r="H3771" s="231">
        <f t="shared" si="116"/>
        <v>0</v>
      </c>
      <c r="I3771" s="231">
        <f t="shared" si="117"/>
        <v>0</v>
      </c>
    </row>
    <row r="3772" spans="1:9" hidden="1">
      <c r="A3772" s="1569"/>
      <c r="B3772" s="107"/>
      <c r="C3772" s="649"/>
      <c r="D3772" s="649"/>
      <c r="E3772" s="256"/>
      <c r="H3772" s="231">
        <f t="shared" si="116"/>
        <v>0</v>
      </c>
      <c r="I3772" s="231">
        <f t="shared" si="117"/>
        <v>0</v>
      </c>
    </row>
    <row r="3773" spans="1:9" hidden="1">
      <c r="A3773" s="1569"/>
      <c r="B3773" s="770"/>
      <c r="C3773" s="771"/>
      <c r="D3773" s="771"/>
      <c r="E3773" s="772"/>
      <c r="H3773" s="231">
        <f t="shared" si="116"/>
        <v>0</v>
      </c>
      <c r="I3773" s="231">
        <f t="shared" si="117"/>
        <v>0</v>
      </c>
    </row>
    <row r="3774" spans="1:9" hidden="1">
      <c r="A3774" s="1569"/>
      <c r="B3774" s="770"/>
      <c r="C3774" s="771"/>
      <c r="D3774" s="771"/>
      <c r="E3774" s="772"/>
      <c r="H3774" s="231">
        <f t="shared" si="116"/>
        <v>0</v>
      </c>
      <c r="I3774" s="231">
        <f t="shared" si="117"/>
        <v>0</v>
      </c>
    </row>
    <row r="3775" spans="1:9" hidden="1">
      <c r="A3775" s="1569"/>
      <c r="B3775" s="371"/>
      <c r="C3775" s="665"/>
      <c r="D3775" s="833"/>
      <c r="E3775" s="834"/>
      <c r="H3775" s="231">
        <f t="shared" si="116"/>
        <v>0</v>
      </c>
      <c r="I3775" s="231">
        <f t="shared" si="117"/>
        <v>0</v>
      </c>
    </row>
    <row r="3776" spans="1:9" hidden="1">
      <c r="A3776" s="1569"/>
      <c r="B3776" s="371"/>
      <c r="C3776" s="835"/>
      <c r="D3776" s="835"/>
      <c r="E3776" s="835"/>
      <c r="H3776" s="231">
        <f t="shared" si="116"/>
        <v>0</v>
      </c>
      <c r="I3776" s="231">
        <f t="shared" si="117"/>
        <v>0</v>
      </c>
    </row>
    <row r="3777" spans="1:9" hidden="1">
      <c r="A3777" s="1569"/>
      <c r="B3777" s="371"/>
      <c r="C3777" s="835"/>
      <c r="D3777" s="835"/>
      <c r="E3777" s="835"/>
      <c r="H3777" s="231">
        <f t="shared" si="116"/>
        <v>0</v>
      </c>
      <c r="I3777" s="231">
        <f t="shared" si="117"/>
        <v>0</v>
      </c>
    </row>
    <row r="3778" spans="1:9" hidden="1">
      <c r="A3778" s="1569"/>
      <c r="B3778" s="371"/>
      <c r="C3778" s="844"/>
      <c r="D3778" s="855"/>
      <c r="E3778" s="855"/>
      <c r="H3778" s="231">
        <f t="shared" si="116"/>
        <v>0</v>
      </c>
      <c r="I3778" s="231">
        <f t="shared" si="117"/>
        <v>0</v>
      </c>
    </row>
    <row r="3779" spans="1:9" hidden="1">
      <c r="A3779" s="1569"/>
      <c r="B3779" s="371"/>
      <c r="C3779" s="844"/>
      <c r="D3779" s="855"/>
      <c r="E3779" s="855"/>
      <c r="H3779" s="231">
        <f t="shared" si="116"/>
        <v>0</v>
      </c>
      <c r="I3779" s="231">
        <f t="shared" si="117"/>
        <v>0</v>
      </c>
    </row>
    <row r="3780" spans="1:9" hidden="1">
      <c r="A3780" s="1569"/>
      <c r="B3780" s="371"/>
      <c r="C3780" s="850"/>
      <c r="D3780" s="850"/>
      <c r="E3780" s="844"/>
      <c r="H3780" s="231">
        <f t="shared" si="116"/>
        <v>0</v>
      </c>
      <c r="I3780" s="231">
        <f t="shared" si="117"/>
        <v>0</v>
      </c>
    </row>
    <row r="3781" spans="1:9" hidden="1">
      <c r="A3781" s="1569"/>
      <c r="B3781" s="371"/>
      <c r="C3781" s="850"/>
      <c r="D3781" s="850"/>
      <c r="E3781" s="844"/>
      <c r="H3781" s="231">
        <f t="shared" si="116"/>
        <v>0</v>
      </c>
      <c r="I3781" s="231">
        <f t="shared" si="117"/>
        <v>0</v>
      </c>
    </row>
    <row r="3782" spans="1:9" hidden="1">
      <c r="A3782" s="1569"/>
      <c r="B3782" s="371"/>
      <c r="C3782" s="850"/>
      <c r="D3782" s="850"/>
      <c r="E3782" s="844"/>
      <c r="H3782" s="231">
        <f t="shared" si="116"/>
        <v>0</v>
      </c>
      <c r="I3782" s="231">
        <f t="shared" si="117"/>
        <v>0</v>
      </c>
    </row>
    <row r="3783" spans="1:9" hidden="1">
      <c r="A3783" s="1569"/>
      <c r="B3783" s="371"/>
      <c r="C3783" s="850"/>
      <c r="D3783" s="850"/>
      <c r="E3783" s="844"/>
      <c r="H3783" s="231">
        <f t="shared" si="116"/>
        <v>0</v>
      </c>
      <c r="I3783" s="231">
        <f t="shared" si="117"/>
        <v>0</v>
      </c>
    </row>
    <row r="3784" spans="1:9" hidden="1">
      <c r="A3784" s="1569"/>
      <c r="B3784" s="371"/>
      <c r="C3784" s="850"/>
      <c r="D3784" s="850"/>
      <c r="E3784" s="844"/>
      <c r="H3784" s="231">
        <f t="shared" si="116"/>
        <v>0</v>
      </c>
      <c r="I3784" s="231">
        <f t="shared" si="117"/>
        <v>0</v>
      </c>
    </row>
    <row r="3785" spans="1:9" hidden="1">
      <c r="A3785" s="1569"/>
      <c r="B3785" s="371"/>
      <c r="C3785" s="850"/>
      <c r="D3785" s="850"/>
      <c r="E3785" s="844"/>
      <c r="H3785" s="231">
        <f t="shared" ref="H3785:H3848" si="118">E3785+D3785-C3785</f>
        <v>0</v>
      </c>
      <c r="I3785" s="231">
        <f t="shared" ref="I3785:I3848" si="119">SUM(C3785:E3785)</f>
        <v>0</v>
      </c>
    </row>
    <row r="3786" spans="1:9" hidden="1">
      <c r="A3786" s="1569"/>
      <c r="B3786" s="371"/>
      <c r="C3786" s="850"/>
      <c r="D3786" s="850"/>
      <c r="E3786" s="844"/>
      <c r="H3786" s="231">
        <f t="shared" si="118"/>
        <v>0</v>
      </c>
      <c r="I3786" s="231">
        <f t="shared" si="119"/>
        <v>0</v>
      </c>
    </row>
    <row r="3787" spans="1:9" hidden="1">
      <c r="A3787" s="1569"/>
      <c r="B3787" s="371"/>
      <c r="C3787" s="850"/>
      <c r="D3787" s="850"/>
      <c r="E3787" s="844"/>
      <c r="H3787" s="231">
        <f t="shared" si="118"/>
        <v>0</v>
      </c>
      <c r="I3787" s="231">
        <f t="shared" si="119"/>
        <v>0</v>
      </c>
    </row>
    <row r="3788" spans="1:9" hidden="1">
      <c r="A3788" s="1569"/>
      <c r="B3788" s="371"/>
      <c r="C3788" s="850"/>
      <c r="D3788" s="850"/>
      <c r="E3788" s="844"/>
      <c r="H3788" s="231">
        <f t="shared" si="118"/>
        <v>0</v>
      </c>
      <c r="I3788" s="231">
        <f t="shared" si="119"/>
        <v>0</v>
      </c>
    </row>
    <row r="3789" spans="1:9" hidden="1">
      <c r="A3789" s="1569"/>
      <c r="B3789" s="371"/>
      <c r="C3789" s="850"/>
      <c r="D3789" s="850"/>
      <c r="E3789" s="844"/>
      <c r="H3789" s="231">
        <f t="shared" si="118"/>
        <v>0</v>
      </c>
      <c r="I3789" s="231">
        <f t="shared" si="119"/>
        <v>0</v>
      </c>
    </row>
    <row r="3790" spans="1:9" hidden="1">
      <c r="A3790" s="1569"/>
      <c r="B3790" s="371"/>
      <c r="C3790" s="850"/>
      <c r="D3790" s="850"/>
      <c r="E3790" s="844"/>
      <c r="H3790" s="231">
        <f t="shared" si="118"/>
        <v>0</v>
      </c>
      <c r="I3790" s="231">
        <f t="shared" si="119"/>
        <v>0</v>
      </c>
    </row>
    <row r="3791" spans="1:9" hidden="1">
      <c r="A3791" s="1569"/>
      <c r="B3791" s="371"/>
      <c r="C3791" s="850"/>
      <c r="D3791" s="850"/>
      <c r="E3791" s="844"/>
      <c r="H3791" s="231">
        <f t="shared" si="118"/>
        <v>0</v>
      </c>
      <c r="I3791" s="231">
        <f t="shared" si="119"/>
        <v>0</v>
      </c>
    </row>
    <row r="3792" spans="1:9" hidden="1">
      <c r="A3792" s="1569"/>
      <c r="B3792" s="869"/>
      <c r="C3792" s="850"/>
      <c r="D3792" s="850"/>
      <c r="E3792" s="844"/>
      <c r="H3792" s="231">
        <f t="shared" si="118"/>
        <v>0</v>
      </c>
      <c r="I3792" s="231">
        <f t="shared" si="119"/>
        <v>0</v>
      </c>
    </row>
    <row r="3793" spans="1:9" hidden="1">
      <c r="A3793" s="1569"/>
      <c r="B3793" s="869"/>
      <c r="C3793" s="850"/>
      <c r="D3793" s="850"/>
      <c r="E3793" s="844"/>
      <c r="H3793" s="231">
        <f t="shared" si="118"/>
        <v>0</v>
      </c>
      <c r="I3793" s="231">
        <f t="shared" si="119"/>
        <v>0</v>
      </c>
    </row>
    <row r="3794" spans="1:9" hidden="1">
      <c r="A3794" s="1569"/>
      <c r="B3794" s="869"/>
      <c r="C3794" s="850"/>
      <c r="D3794" s="850"/>
      <c r="E3794" s="844"/>
      <c r="H3794" s="231">
        <f t="shared" si="118"/>
        <v>0</v>
      </c>
      <c r="I3794" s="231">
        <f t="shared" si="119"/>
        <v>0</v>
      </c>
    </row>
    <row r="3795" spans="1:9" hidden="1">
      <c r="A3795" s="1569"/>
      <c r="B3795" s="869"/>
      <c r="C3795" s="850"/>
      <c r="D3795" s="850"/>
      <c r="E3795" s="844"/>
      <c r="H3795" s="231">
        <f t="shared" si="118"/>
        <v>0</v>
      </c>
      <c r="I3795" s="231">
        <f t="shared" si="119"/>
        <v>0</v>
      </c>
    </row>
    <row r="3796" spans="1:9" hidden="1">
      <c r="A3796" s="1569"/>
      <c r="B3796" s="869"/>
      <c r="C3796" s="850"/>
      <c r="D3796" s="850"/>
      <c r="E3796" s="844"/>
      <c r="H3796" s="231">
        <f t="shared" si="118"/>
        <v>0</v>
      </c>
      <c r="I3796" s="231">
        <f t="shared" si="119"/>
        <v>0</v>
      </c>
    </row>
    <row r="3797" spans="1:9" hidden="1">
      <c r="A3797" s="1569"/>
      <c r="B3797" s="881"/>
      <c r="C3797" s="850"/>
      <c r="D3797" s="850"/>
      <c r="E3797" s="844"/>
      <c r="H3797" s="231">
        <f t="shared" si="118"/>
        <v>0</v>
      </c>
      <c r="I3797" s="231">
        <f t="shared" si="119"/>
        <v>0</v>
      </c>
    </row>
    <row r="3798" spans="1:9" hidden="1">
      <c r="A3798" s="1569"/>
      <c r="B3798" s="881"/>
      <c r="C3798" s="850"/>
      <c r="D3798" s="850"/>
      <c r="E3798" s="844"/>
      <c r="H3798" s="231">
        <f t="shared" si="118"/>
        <v>0</v>
      </c>
      <c r="I3798" s="231">
        <f t="shared" si="119"/>
        <v>0</v>
      </c>
    </row>
    <row r="3799" spans="1:9" hidden="1">
      <c r="A3799" s="1569"/>
      <c r="B3799" s="371"/>
      <c r="C3799" s="850"/>
      <c r="D3799" s="850"/>
      <c r="E3799" s="844"/>
      <c r="H3799" s="231">
        <f t="shared" si="118"/>
        <v>0</v>
      </c>
      <c r="I3799" s="231">
        <f t="shared" si="119"/>
        <v>0</v>
      </c>
    </row>
    <row r="3800" spans="1:9" hidden="1">
      <c r="A3800" s="1569"/>
      <c r="B3800" s="371"/>
      <c r="C3800" s="850"/>
      <c r="D3800" s="850"/>
      <c r="E3800" s="844"/>
      <c r="H3800" s="231">
        <f t="shared" si="118"/>
        <v>0</v>
      </c>
      <c r="I3800" s="231">
        <f t="shared" si="119"/>
        <v>0</v>
      </c>
    </row>
    <row r="3801" spans="1:9" hidden="1">
      <c r="A3801" s="1569"/>
      <c r="B3801" s="371"/>
      <c r="C3801" s="850"/>
      <c r="D3801" s="850"/>
      <c r="E3801" s="844"/>
      <c r="H3801" s="231">
        <f t="shared" si="118"/>
        <v>0</v>
      </c>
      <c r="I3801" s="231">
        <f t="shared" si="119"/>
        <v>0</v>
      </c>
    </row>
    <row r="3802" spans="1:9" hidden="1">
      <c r="A3802" s="1569"/>
      <c r="B3802" s="371"/>
      <c r="C3802" s="850"/>
      <c r="D3802" s="850"/>
      <c r="E3802" s="844"/>
      <c r="H3802" s="231">
        <f t="shared" si="118"/>
        <v>0</v>
      </c>
      <c r="I3802" s="231">
        <f t="shared" si="119"/>
        <v>0</v>
      </c>
    </row>
    <row r="3803" spans="1:9" hidden="1">
      <c r="A3803" s="1569"/>
      <c r="B3803" s="371"/>
      <c r="C3803" s="846"/>
      <c r="D3803" s="846"/>
      <c r="E3803" s="846"/>
      <c r="H3803" s="231">
        <f t="shared" si="118"/>
        <v>0</v>
      </c>
      <c r="I3803" s="231">
        <f t="shared" si="119"/>
        <v>0</v>
      </c>
    </row>
    <row r="3804" spans="1:9" hidden="1">
      <c r="A3804" s="1569"/>
      <c r="B3804" s="371"/>
      <c r="C3804" s="835"/>
      <c r="D3804" s="835"/>
      <c r="E3804" s="835"/>
      <c r="H3804" s="231">
        <f t="shared" si="118"/>
        <v>0</v>
      </c>
      <c r="I3804" s="231">
        <f t="shared" si="119"/>
        <v>0</v>
      </c>
    </row>
    <row r="3805" spans="1:9" hidden="1">
      <c r="A3805" s="1569"/>
      <c r="B3805" s="371"/>
      <c r="C3805" s="835"/>
      <c r="D3805" s="835"/>
      <c r="E3805" s="835"/>
      <c r="H3805" s="231">
        <f t="shared" si="118"/>
        <v>0</v>
      </c>
      <c r="I3805" s="231">
        <f t="shared" si="119"/>
        <v>0</v>
      </c>
    </row>
    <row r="3806" spans="1:9" hidden="1">
      <c r="A3806" s="1569"/>
      <c r="B3806" s="371"/>
      <c r="C3806" s="835"/>
      <c r="D3806" s="835"/>
      <c r="E3806" s="835"/>
      <c r="H3806" s="231">
        <f t="shared" si="118"/>
        <v>0</v>
      </c>
      <c r="I3806" s="231">
        <f t="shared" si="119"/>
        <v>0</v>
      </c>
    </row>
    <row r="3807" spans="1:9" hidden="1">
      <c r="A3807" s="1569"/>
      <c r="B3807" s="371"/>
      <c r="C3807" s="835"/>
      <c r="D3807" s="835"/>
      <c r="E3807" s="835"/>
      <c r="H3807" s="231">
        <f t="shared" si="118"/>
        <v>0</v>
      </c>
      <c r="I3807" s="231">
        <f t="shared" si="119"/>
        <v>0</v>
      </c>
    </row>
    <row r="3808" spans="1:9" hidden="1">
      <c r="A3808" s="1569"/>
      <c r="B3808" s="371"/>
      <c r="C3808" s="835"/>
      <c r="D3808" s="835"/>
      <c r="E3808" s="835"/>
      <c r="H3808" s="231">
        <f t="shared" si="118"/>
        <v>0</v>
      </c>
      <c r="I3808" s="231">
        <f t="shared" si="119"/>
        <v>0</v>
      </c>
    </row>
    <row r="3809" spans="1:9" hidden="1">
      <c r="A3809" s="1569"/>
      <c r="B3809" s="371"/>
      <c r="C3809" s="835"/>
      <c r="D3809" s="835"/>
      <c r="E3809" s="835"/>
      <c r="H3809" s="231">
        <f t="shared" si="118"/>
        <v>0</v>
      </c>
      <c r="I3809" s="231">
        <f t="shared" si="119"/>
        <v>0</v>
      </c>
    </row>
    <row r="3810" spans="1:9" hidden="1">
      <c r="A3810" s="1569"/>
      <c r="B3810" s="371"/>
      <c r="C3810" s="835"/>
      <c r="D3810" s="835"/>
      <c r="E3810" s="835"/>
      <c r="H3810" s="231">
        <f t="shared" si="118"/>
        <v>0</v>
      </c>
      <c r="I3810" s="231">
        <f t="shared" si="119"/>
        <v>0</v>
      </c>
    </row>
    <row r="3811" spans="1:9" hidden="1">
      <c r="A3811" s="1569"/>
      <c r="B3811" s="371"/>
      <c r="C3811" s="835"/>
      <c r="D3811" s="835"/>
      <c r="E3811" s="835"/>
      <c r="H3811" s="231">
        <f t="shared" si="118"/>
        <v>0</v>
      </c>
      <c r="I3811" s="231">
        <f t="shared" si="119"/>
        <v>0</v>
      </c>
    </row>
    <row r="3812" spans="1:9" hidden="1">
      <c r="A3812" s="1569"/>
      <c r="B3812" s="371"/>
      <c r="C3812" s="835"/>
      <c r="D3812" s="835"/>
      <c r="E3812" s="835"/>
      <c r="H3812" s="231">
        <f t="shared" si="118"/>
        <v>0</v>
      </c>
      <c r="I3812" s="231">
        <f t="shared" si="119"/>
        <v>0</v>
      </c>
    </row>
    <row r="3813" spans="1:9" hidden="1">
      <c r="A3813" s="1569"/>
      <c r="B3813" s="371"/>
      <c r="C3813" s="835"/>
      <c r="D3813" s="835"/>
      <c r="E3813" s="835"/>
      <c r="H3813" s="231">
        <f t="shared" si="118"/>
        <v>0</v>
      </c>
      <c r="I3813" s="231">
        <f t="shared" si="119"/>
        <v>0</v>
      </c>
    </row>
    <row r="3814" spans="1:9" hidden="1">
      <c r="A3814" s="1569"/>
      <c r="B3814" s="371"/>
      <c r="C3814" s="835"/>
      <c r="D3814" s="835"/>
      <c r="E3814" s="835"/>
      <c r="H3814" s="231">
        <f t="shared" si="118"/>
        <v>0</v>
      </c>
      <c r="I3814" s="231">
        <f t="shared" si="119"/>
        <v>0</v>
      </c>
    </row>
    <row r="3815" spans="1:9" hidden="1">
      <c r="A3815" s="1569"/>
      <c r="B3815" s="371"/>
      <c r="C3815" s="835"/>
      <c r="D3815" s="835"/>
      <c r="E3815" s="835"/>
      <c r="H3815" s="231">
        <f t="shared" si="118"/>
        <v>0</v>
      </c>
      <c r="I3815" s="231">
        <f t="shared" si="119"/>
        <v>0</v>
      </c>
    </row>
    <row r="3816" spans="1:9" hidden="1">
      <c r="A3816" s="1569"/>
      <c r="B3816" s="371"/>
      <c r="C3816" s="835"/>
      <c r="D3816" s="835"/>
      <c r="E3816" s="835"/>
      <c r="H3816" s="231">
        <f t="shared" si="118"/>
        <v>0</v>
      </c>
      <c r="I3816" s="231">
        <f t="shared" si="119"/>
        <v>0</v>
      </c>
    </row>
    <row r="3817" spans="1:9" hidden="1">
      <c r="A3817" s="1569"/>
      <c r="B3817" s="371"/>
      <c r="C3817" s="835"/>
      <c r="D3817" s="835"/>
      <c r="E3817" s="835"/>
      <c r="H3817" s="231">
        <f t="shared" si="118"/>
        <v>0</v>
      </c>
      <c r="I3817" s="231">
        <f t="shared" si="119"/>
        <v>0</v>
      </c>
    </row>
    <row r="3818" spans="1:9" hidden="1">
      <c r="A3818" s="1569"/>
      <c r="B3818" s="371"/>
      <c r="C3818" s="835"/>
      <c r="D3818" s="835"/>
      <c r="E3818" s="835"/>
      <c r="H3818" s="231">
        <f t="shared" si="118"/>
        <v>0</v>
      </c>
      <c r="I3818" s="231">
        <f t="shared" si="119"/>
        <v>0</v>
      </c>
    </row>
    <row r="3819" spans="1:9" hidden="1">
      <c r="A3819" s="1569"/>
      <c r="B3819" s="371"/>
      <c r="C3819" s="835"/>
      <c r="D3819" s="835"/>
      <c r="E3819" s="835"/>
      <c r="H3819" s="231">
        <f t="shared" si="118"/>
        <v>0</v>
      </c>
      <c r="I3819" s="231">
        <f t="shared" si="119"/>
        <v>0</v>
      </c>
    </row>
    <row r="3820" spans="1:9" hidden="1">
      <c r="A3820" s="1569"/>
      <c r="B3820" s="371"/>
      <c r="C3820" s="835"/>
      <c r="D3820" s="835"/>
      <c r="E3820" s="835"/>
      <c r="H3820" s="231">
        <f t="shared" si="118"/>
        <v>0</v>
      </c>
      <c r="I3820" s="231">
        <f t="shared" si="119"/>
        <v>0</v>
      </c>
    </row>
    <row r="3821" spans="1:9" hidden="1">
      <c r="A3821" s="1569"/>
      <c r="B3821" s="371"/>
      <c r="C3821" s="835"/>
      <c r="D3821" s="835"/>
      <c r="E3821" s="835"/>
      <c r="H3821" s="231">
        <f t="shared" si="118"/>
        <v>0</v>
      </c>
      <c r="I3821" s="231">
        <f t="shared" si="119"/>
        <v>0</v>
      </c>
    </row>
    <row r="3822" spans="1:9" hidden="1">
      <c r="A3822" s="1569"/>
      <c r="B3822" s="371"/>
      <c r="C3822" s="835"/>
      <c r="D3822" s="835"/>
      <c r="E3822" s="835"/>
      <c r="H3822" s="231">
        <f t="shared" si="118"/>
        <v>0</v>
      </c>
      <c r="I3822" s="231">
        <f t="shared" si="119"/>
        <v>0</v>
      </c>
    </row>
    <row r="3823" spans="1:9" hidden="1">
      <c r="A3823" s="1569"/>
      <c r="B3823" s="371"/>
      <c r="C3823" s="835"/>
      <c r="D3823" s="835"/>
      <c r="E3823" s="835"/>
      <c r="H3823" s="231">
        <f t="shared" si="118"/>
        <v>0</v>
      </c>
      <c r="I3823" s="231">
        <f t="shared" si="119"/>
        <v>0</v>
      </c>
    </row>
    <row r="3824" spans="1:9" hidden="1">
      <c r="A3824" s="1569"/>
      <c r="B3824" s="562"/>
      <c r="C3824" s="719"/>
      <c r="D3824" s="719"/>
      <c r="E3824" s="720"/>
      <c r="H3824" s="231">
        <f t="shared" si="118"/>
        <v>0</v>
      </c>
      <c r="I3824" s="231">
        <f t="shared" si="119"/>
        <v>0</v>
      </c>
    </row>
    <row r="3825" spans="1:12" hidden="1">
      <c r="A3825" s="1569"/>
      <c r="B3825" s="107"/>
      <c r="C3825" s="654"/>
      <c r="D3825" s="654"/>
      <c r="E3825" s="256"/>
      <c r="H3825" s="231">
        <f t="shared" si="118"/>
        <v>0</v>
      </c>
      <c r="I3825" s="231">
        <f t="shared" si="119"/>
        <v>0</v>
      </c>
    </row>
    <row r="3826" spans="1:12">
      <c r="A3826" s="1659"/>
      <c r="B3826" s="209" t="s">
        <v>985</v>
      </c>
      <c r="C3826" s="581">
        <f>SUM(C3709:C3825)</f>
        <v>678672</v>
      </c>
      <c r="D3826" s="581">
        <f>SUM(D3709:D3825)</f>
        <v>531672</v>
      </c>
      <c r="E3826" s="581">
        <f>SUM(E3709:E3825)</f>
        <v>147000</v>
      </c>
      <c r="H3826" s="1497">
        <f t="shared" si="118"/>
        <v>0</v>
      </c>
      <c r="I3826" s="1497">
        <f t="shared" si="119"/>
        <v>1357344</v>
      </c>
      <c r="J3826" s="1440"/>
      <c r="K3826" s="1490"/>
      <c r="L3826" s="1490"/>
    </row>
    <row r="3827" spans="1:12" ht="131.25">
      <c r="A3827" s="1568" t="s">
        <v>1125</v>
      </c>
      <c r="B3827" s="107" t="s">
        <v>1855</v>
      </c>
      <c r="C3827" s="184">
        <v>20000</v>
      </c>
      <c r="D3827" s="184">
        <v>20000</v>
      </c>
      <c r="E3827" s="184"/>
      <c r="H3827" s="1497">
        <f t="shared" si="118"/>
        <v>0</v>
      </c>
      <c r="I3827" s="1497">
        <f t="shared" si="119"/>
        <v>40000</v>
      </c>
      <c r="J3827" s="1440"/>
      <c r="K3827" s="1490"/>
      <c r="L3827" s="1490"/>
    </row>
    <row r="3828" spans="1:12" ht="93.75">
      <c r="A3828" s="1569"/>
      <c r="B3828" s="425" t="s">
        <v>1856</v>
      </c>
      <c r="C3828" s="1227">
        <v>50000</v>
      </c>
      <c r="D3828" s="1227">
        <v>50000</v>
      </c>
      <c r="E3828" s="1227"/>
      <c r="H3828" s="1497">
        <f t="shared" si="118"/>
        <v>0</v>
      </c>
      <c r="I3828" s="1497">
        <f t="shared" si="119"/>
        <v>100000</v>
      </c>
      <c r="J3828" s="1440"/>
      <c r="K3828" s="1490"/>
      <c r="L3828" s="1490"/>
    </row>
    <row r="3829" spans="1:12" ht="37.5">
      <c r="A3829" s="1569"/>
      <c r="B3829" s="425" t="s">
        <v>1857</v>
      </c>
      <c r="C3829" s="817">
        <v>15000</v>
      </c>
      <c r="D3829" s="817">
        <v>15000</v>
      </c>
      <c r="E3829" s="184"/>
      <c r="H3829" s="1497">
        <f t="shared" si="118"/>
        <v>0</v>
      </c>
      <c r="I3829" s="1497">
        <f t="shared" si="119"/>
        <v>30000</v>
      </c>
      <c r="J3829" s="1440"/>
      <c r="K3829" s="1490"/>
      <c r="L3829" s="1490"/>
    </row>
    <row r="3830" spans="1:12" hidden="1">
      <c r="A3830" s="1569"/>
      <c r="B3830" s="107"/>
      <c r="C3830" s="589"/>
      <c r="D3830" s="589"/>
      <c r="E3830" s="510"/>
      <c r="H3830" s="231">
        <f t="shared" si="118"/>
        <v>0</v>
      </c>
      <c r="I3830" s="231">
        <f t="shared" si="119"/>
        <v>0</v>
      </c>
    </row>
    <row r="3831" spans="1:12" hidden="1">
      <c r="A3831" s="1569"/>
      <c r="B3831" s="617"/>
      <c r="C3831" s="633"/>
      <c r="D3831" s="633"/>
      <c r="E3831" s="633"/>
      <c r="H3831" s="231">
        <f t="shared" si="118"/>
        <v>0</v>
      </c>
      <c r="I3831" s="231">
        <f t="shared" si="119"/>
        <v>0</v>
      </c>
    </row>
    <row r="3832" spans="1:12" hidden="1">
      <c r="A3832" s="1569"/>
      <c r="B3832" s="107"/>
      <c r="C3832" s="649"/>
      <c r="D3832" s="649"/>
      <c r="E3832" s="256"/>
      <c r="H3832" s="231">
        <f t="shared" si="118"/>
        <v>0</v>
      </c>
      <c r="I3832" s="231">
        <f t="shared" si="119"/>
        <v>0</v>
      </c>
    </row>
    <row r="3833" spans="1:12" hidden="1">
      <c r="A3833" s="1569"/>
      <c r="B3833" s="107"/>
      <c r="C3833" s="256"/>
      <c r="D3833" s="256"/>
      <c r="E3833" s="256"/>
      <c r="H3833" s="231">
        <f t="shared" si="118"/>
        <v>0</v>
      </c>
      <c r="I3833" s="231">
        <f t="shared" si="119"/>
        <v>0</v>
      </c>
    </row>
    <row r="3834" spans="1:12" hidden="1">
      <c r="A3834" s="1569"/>
      <c r="B3834" s="371"/>
      <c r="C3834" s="850"/>
      <c r="D3834" s="850"/>
      <c r="E3834" s="844"/>
      <c r="H3834" s="231">
        <f t="shared" si="118"/>
        <v>0</v>
      </c>
      <c r="I3834" s="231">
        <f t="shared" si="119"/>
        <v>0</v>
      </c>
    </row>
    <row r="3835" spans="1:12" hidden="1">
      <c r="A3835" s="1569"/>
      <c r="B3835" s="821"/>
      <c r="C3835" s="852"/>
      <c r="D3835" s="852"/>
      <c r="E3835" s="852"/>
      <c r="H3835" s="231">
        <f t="shared" si="118"/>
        <v>0</v>
      </c>
      <c r="I3835" s="231">
        <f t="shared" si="119"/>
        <v>0</v>
      </c>
    </row>
    <row r="3836" spans="1:12" hidden="1">
      <c r="A3836" s="1569"/>
      <c r="B3836" s="107"/>
      <c r="C3836" s="654"/>
      <c r="D3836" s="654"/>
      <c r="E3836" s="654"/>
      <c r="H3836" s="231">
        <f t="shared" si="118"/>
        <v>0</v>
      </c>
      <c r="I3836" s="231">
        <f t="shared" si="119"/>
        <v>0</v>
      </c>
    </row>
    <row r="3837" spans="1:12" hidden="1">
      <c r="A3837" s="1569"/>
      <c r="B3837" s="107"/>
      <c r="C3837" s="654"/>
      <c r="D3837" s="654"/>
      <c r="E3837" s="256"/>
      <c r="H3837" s="231">
        <f t="shared" si="118"/>
        <v>0</v>
      </c>
      <c r="I3837" s="231">
        <f t="shared" si="119"/>
        <v>0</v>
      </c>
    </row>
    <row r="3838" spans="1:12" hidden="1">
      <c r="A3838" s="1569"/>
      <c r="B3838" s="107"/>
      <c r="C3838" s="654"/>
      <c r="D3838" s="654"/>
      <c r="E3838" s="256"/>
      <c r="H3838" s="231">
        <f t="shared" si="118"/>
        <v>0</v>
      </c>
      <c r="I3838" s="231">
        <f t="shared" si="119"/>
        <v>0</v>
      </c>
    </row>
    <row r="3839" spans="1:12" hidden="1">
      <c r="A3839" s="1569"/>
      <c r="B3839" s="107"/>
      <c r="C3839" s="654"/>
      <c r="D3839" s="654"/>
      <c r="E3839" s="256"/>
      <c r="H3839" s="231">
        <f t="shared" si="118"/>
        <v>0</v>
      </c>
      <c r="I3839" s="231">
        <f t="shared" si="119"/>
        <v>0</v>
      </c>
    </row>
    <row r="3840" spans="1:12" hidden="1">
      <c r="A3840" s="1569"/>
      <c r="B3840" s="107"/>
      <c r="C3840" s="654"/>
      <c r="D3840" s="654"/>
      <c r="E3840" s="256"/>
      <c r="H3840" s="231">
        <f t="shared" si="118"/>
        <v>0</v>
      </c>
      <c r="I3840" s="231">
        <f t="shared" si="119"/>
        <v>0</v>
      </c>
    </row>
    <row r="3841" spans="1:9" hidden="1">
      <c r="A3841" s="1569"/>
      <c r="B3841" s="116"/>
      <c r="C3841" s="679"/>
      <c r="D3841" s="679"/>
      <c r="E3841" s="256"/>
      <c r="H3841" s="231">
        <f t="shared" si="118"/>
        <v>0</v>
      </c>
      <c r="I3841" s="231">
        <f t="shared" si="119"/>
        <v>0</v>
      </c>
    </row>
    <row r="3842" spans="1:9" hidden="1">
      <c r="A3842" s="1569"/>
      <c r="B3842" s="107"/>
      <c r="C3842" s="654"/>
      <c r="D3842" s="654"/>
      <c r="E3842" s="256"/>
      <c r="H3842" s="231">
        <f t="shared" si="118"/>
        <v>0</v>
      </c>
      <c r="I3842" s="231">
        <f t="shared" si="119"/>
        <v>0</v>
      </c>
    </row>
    <row r="3843" spans="1:9" hidden="1">
      <c r="A3843" s="1569"/>
      <c r="B3843" s="107"/>
      <c r="C3843" s="654"/>
      <c r="D3843" s="654"/>
      <c r="E3843" s="256"/>
      <c r="H3843" s="231">
        <f t="shared" si="118"/>
        <v>0</v>
      </c>
      <c r="I3843" s="231">
        <f t="shared" si="119"/>
        <v>0</v>
      </c>
    </row>
    <row r="3844" spans="1:9" hidden="1">
      <c r="A3844" s="1569"/>
      <c r="B3844" s="107"/>
      <c r="C3844" s="654"/>
      <c r="D3844" s="654"/>
      <c r="E3844" s="256"/>
      <c r="H3844" s="231">
        <f t="shared" si="118"/>
        <v>0</v>
      </c>
      <c r="I3844" s="231">
        <f t="shared" si="119"/>
        <v>0</v>
      </c>
    </row>
    <row r="3845" spans="1:9" hidden="1">
      <c r="A3845" s="1569"/>
      <c r="B3845" s="107"/>
      <c r="C3845" s="654"/>
      <c r="D3845" s="654"/>
      <c r="E3845" s="256"/>
      <c r="H3845" s="231">
        <f t="shared" si="118"/>
        <v>0</v>
      </c>
      <c r="I3845" s="231">
        <f t="shared" si="119"/>
        <v>0</v>
      </c>
    </row>
    <row r="3846" spans="1:9" hidden="1">
      <c r="A3846" s="1569"/>
      <c r="B3846" s="107"/>
      <c r="C3846" s="654"/>
      <c r="D3846" s="654"/>
      <c r="E3846" s="256"/>
      <c r="H3846" s="231">
        <f t="shared" si="118"/>
        <v>0</v>
      </c>
      <c r="I3846" s="231">
        <f t="shared" si="119"/>
        <v>0</v>
      </c>
    </row>
    <row r="3847" spans="1:9" hidden="1">
      <c r="A3847" s="1569"/>
      <c r="B3847" s="107"/>
      <c r="C3847" s="654"/>
      <c r="D3847" s="654"/>
      <c r="E3847" s="256"/>
      <c r="H3847" s="231">
        <f t="shared" si="118"/>
        <v>0</v>
      </c>
      <c r="I3847" s="231">
        <f t="shared" si="119"/>
        <v>0</v>
      </c>
    </row>
    <row r="3848" spans="1:9" hidden="1">
      <c r="A3848" s="1569"/>
      <c r="B3848" s="107"/>
      <c r="C3848" s="654"/>
      <c r="D3848" s="654"/>
      <c r="E3848" s="256"/>
      <c r="H3848" s="231">
        <f t="shared" si="118"/>
        <v>0</v>
      </c>
      <c r="I3848" s="231">
        <f t="shared" si="119"/>
        <v>0</v>
      </c>
    </row>
    <row r="3849" spans="1:9" hidden="1">
      <c r="A3849" s="1569"/>
      <c r="B3849" s="107"/>
      <c r="C3849" s="654"/>
      <c r="D3849" s="654"/>
      <c r="E3849" s="256"/>
      <c r="H3849" s="231">
        <f t="shared" ref="H3849:H3912" si="120">E3849+D3849-C3849</f>
        <v>0</v>
      </c>
      <c r="I3849" s="231">
        <f t="shared" ref="I3849:I3912" si="121">SUM(C3849:E3849)</f>
        <v>0</v>
      </c>
    </row>
    <row r="3850" spans="1:9" hidden="1">
      <c r="A3850" s="1569"/>
      <c r="B3850" s="107"/>
      <c r="C3850" s="654"/>
      <c r="D3850" s="654"/>
      <c r="E3850" s="256"/>
      <c r="H3850" s="231">
        <f t="shared" si="120"/>
        <v>0</v>
      </c>
      <c r="I3850" s="231">
        <f t="shared" si="121"/>
        <v>0</v>
      </c>
    </row>
    <row r="3851" spans="1:9" hidden="1">
      <c r="A3851" s="1569"/>
      <c r="B3851" s="107"/>
      <c r="C3851" s="654"/>
      <c r="D3851" s="654"/>
      <c r="E3851" s="256"/>
      <c r="H3851" s="231">
        <f t="shared" si="120"/>
        <v>0</v>
      </c>
      <c r="I3851" s="231">
        <f t="shared" si="121"/>
        <v>0</v>
      </c>
    </row>
    <row r="3852" spans="1:9" hidden="1">
      <c r="A3852" s="1569"/>
      <c r="B3852" s="107"/>
      <c r="C3852" s="654"/>
      <c r="D3852" s="654"/>
      <c r="E3852" s="256"/>
      <c r="H3852" s="231">
        <f t="shared" si="120"/>
        <v>0</v>
      </c>
      <c r="I3852" s="231">
        <f t="shared" si="121"/>
        <v>0</v>
      </c>
    </row>
    <row r="3853" spans="1:9" hidden="1">
      <c r="A3853" s="1569"/>
      <c r="B3853" s="107"/>
      <c r="C3853" s="654"/>
      <c r="D3853" s="654"/>
      <c r="E3853" s="256"/>
      <c r="H3853" s="231">
        <f t="shared" si="120"/>
        <v>0</v>
      </c>
      <c r="I3853" s="231">
        <f t="shared" si="121"/>
        <v>0</v>
      </c>
    </row>
    <row r="3854" spans="1:9" hidden="1">
      <c r="A3854" s="1569"/>
      <c r="B3854" s="107"/>
      <c r="C3854" s="654"/>
      <c r="D3854" s="654"/>
      <c r="E3854" s="256"/>
      <c r="H3854" s="231">
        <f t="shared" si="120"/>
        <v>0</v>
      </c>
      <c r="I3854" s="231">
        <f t="shared" si="121"/>
        <v>0</v>
      </c>
    </row>
    <row r="3855" spans="1:9" hidden="1">
      <c r="A3855" s="1569"/>
      <c r="B3855" s="107"/>
      <c r="C3855" s="654"/>
      <c r="D3855" s="654"/>
      <c r="E3855" s="256"/>
      <c r="H3855" s="231">
        <f t="shared" si="120"/>
        <v>0</v>
      </c>
      <c r="I3855" s="231">
        <f t="shared" si="121"/>
        <v>0</v>
      </c>
    </row>
    <row r="3856" spans="1:9" hidden="1">
      <c r="A3856" s="1569"/>
      <c r="B3856" s="107"/>
      <c r="C3856" s="654"/>
      <c r="D3856" s="654"/>
      <c r="E3856" s="256"/>
      <c r="H3856" s="231">
        <f t="shared" si="120"/>
        <v>0</v>
      </c>
      <c r="I3856" s="231">
        <f t="shared" si="121"/>
        <v>0</v>
      </c>
    </row>
    <row r="3857" spans="1:12" hidden="1">
      <c r="A3857" s="1569"/>
      <c r="B3857" s="107"/>
      <c r="C3857" s="654"/>
      <c r="D3857" s="654"/>
      <c r="E3857" s="256"/>
      <c r="H3857" s="231">
        <f t="shared" si="120"/>
        <v>0</v>
      </c>
      <c r="I3857" s="231">
        <f t="shared" si="121"/>
        <v>0</v>
      </c>
    </row>
    <row r="3858" spans="1:12" hidden="1">
      <c r="A3858" s="1569"/>
      <c r="B3858" s="107"/>
      <c r="C3858" s="654"/>
      <c r="D3858" s="654"/>
      <c r="E3858" s="256"/>
      <c r="H3858" s="231">
        <f t="shared" si="120"/>
        <v>0</v>
      </c>
      <c r="I3858" s="231">
        <f t="shared" si="121"/>
        <v>0</v>
      </c>
    </row>
    <row r="3859" spans="1:12" hidden="1">
      <c r="A3859" s="1569"/>
      <c r="B3859" s="107"/>
      <c r="C3859" s="654"/>
      <c r="D3859" s="654"/>
      <c r="E3859" s="256"/>
      <c r="H3859" s="231">
        <f t="shared" si="120"/>
        <v>0</v>
      </c>
      <c r="I3859" s="231">
        <f t="shared" si="121"/>
        <v>0</v>
      </c>
    </row>
    <row r="3860" spans="1:12" hidden="1">
      <c r="A3860" s="1569"/>
      <c r="B3860" s="107"/>
      <c r="C3860" s="654"/>
      <c r="D3860" s="654"/>
      <c r="E3860" s="256"/>
      <c r="H3860" s="231">
        <f t="shared" si="120"/>
        <v>0</v>
      </c>
      <c r="I3860" s="231">
        <f t="shared" si="121"/>
        <v>0</v>
      </c>
    </row>
    <row r="3861" spans="1:12">
      <c r="A3861" s="1659"/>
      <c r="B3861" s="209" t="s">
        <v>985</v>
      </c>
      <c r="C3861" s="581">
        <f>SUM(C3827:C3860)</f>
        <v>85000</v>
      </c>
      <c r="D3861" s="581">
        <f>SUM(D3827:D3860)</f>
        <v>85000</v>
      </c>
      <c r="E3861" s="581">
        <f>SUM(E3827:E3860)</f>
        <v>0</v>
      </c>
      <c r="H3861" s="1497">
        <f t="shared" si="120"/>
        <v>0</v>
      </c>
      <c r="I3861" s="1497">
        <f t="shared" si="121"/>
        <v>170000</v>
      </c>
      <c r="J3861" s="1440"/>
      <c r="K3861" s="1490"/>
      <c r="L3861" s="1490"/>
    </row>
    <row r="3862" spans="1:12" ht="112.5">
      <c r="A3862" s="1568" t="s">
        <v>1126</v>
      </c>
      <c r="B3862" s="107" t="s">
        <v>773</v>
      </c>
      <c r="C3862" s="590">
        <v>30000</v>
      </c>
      <c r="D3862" s="590"/>
      <c r="E3862" s="590">
        <v>30000</v>
      </c>
      <c r="H3862" s="1497">
        <f t="shared" si="120"/>
        <v>0</v>
      </c>
      <c r="I3862" s="1497">
        <f t="shared" si="121"/>
        <v>60000</v>
      </c>
      <c r="J3862" s="1440"/>
      <c r="K3862" s="1490"/>
      <c r="L3862" s="1490"/>
    </row>
    <row r="3863" spans="1:12" ht="37.5">
      <c r="A3863" s="1569"/>
      <c r="B3863" s="107" t="s">
        <v>1858</v>
      </c>
      <c r="C3863" s="184">
        <v>20000</v>
      </c>
      <c r="D3863" s="184"/>
      <c r="E3863" s="184">
        <v>20000</v>
      </c>
      <c r="H3863" s="1497">
        <f t="shared" si="120"/>
        <v>0</v>
      </c>
      <c r="I3863" s="1497">
        <f t="shared" si="121"/>
        <v>40000</v>
      </c>
      <c r="J3863" s="1440"/>
      <c r="K3863" s="1490"/>
      <c r="L3863" s="1490"/>
    </row>
    <row r="3864" spans="1:12" ht="37.5">
      <c r="A3864" s="1569"/>
      <c r="B3864" s="107" t="s">
        <v>1859</v>
      </c>
      <c r="C3864" s="184">
        <v>30000</v>
      </c>
      <c r="D3864" s="184"/>
      <c r="E3864" s="184">
        <v>30000</v>
      </c>
      <c r="H3864" s="1497">
        <f t="shared" si="120"/>
        <v>0</v>
      </c>
      <c r="I3864" s="1497">
        <f t="shared" si="121"/>
        <v>60000</v>
      </c>
      <c r="J3864" s="1440"/>
      <c r="K3864" s="1490"/>
      <c r="L3864" s="1490"/>
    </row>
    <row r="3865" spans="1:12" ht="131.25">
      <c r="A3865" s="1569"/>
      <c r="B3865" s="107" t="s">
        <v>1860</v>
      </c>
      <c r="C3865" s="184">
        <v>30000</v>
      </c>
      <c r="D3865" s="184"/>
      <c r="E3865" s="184">
        <v>30000</v>
      </c>
      <c r="H3865" s="1497">
        <f t="shared" si="120"/>
        <v>0</v>
      </c>
      <c r="I3865" s="1497">
        <f t="shared" si="121"/>
        <v>60000</v>
      </c>
      <c r="J3865" s="1440"/>
      <c r="K3865" s="1490"/>
      <c r="L3865" s="1490"/>
    </row>
    <row r="3866" spans="1:12" hidden="1">
      <c r="A3866" s="1569"/>
      <c r="B3866" s="371"/>
      <c r="C3866" s="844"/>
      <c r="D3866" s="855"/>
      <c r="E3866" s="855"/>
      <c r="H3866" s="231">
        <f t="shared" si="120"/>
        <v>0</v>
      </c>
      <c r="I3866" s="231">
        <f t="shared" si="121"/>
        <v>0</v>
      </c>
    </row>
    <row r="3867" spans="1:12" hidden="1">
      <c r="A3867" s="1569"/>
      <c r="B3867" s="116"/>
      <c r="C3867" s="679"/>
      <c r="D3867" s="679"/>
      <c r="E3867" s="654"/>
      <c r="H3867" s="231">
        <f t="shared" si="120"/>
        <v>0</v>
      </c>
      <c r="I3867" s="231">
        <f t="shared" si="121"/>
        <v>0</v>
      </c>
    </row>
    <row r="3868" spans="1:12" hidden="1">
      <c r="A3868" s="1569"/>
      <c r="B3868" s="107"/>
      <c r="C3868" s="654"/>
      <c r="D3868" s="654"/>
      <c r="E3868" s="654"/>
      <c r="H3868" s="231">
        <f t="shared" si="120"/>
        <v>0</v>
      </c>
      <c r="I3868" s="231">
        <f t="shared" si="121"/>
        <v>0</v>
      </c>
    </row>
    <row r="3869" spans="1:12" hidden="1">
      <c r="A3869" s="1569"/>
      <c r="B3869" s="116"/>
      <c r="C3869" s="679"/>
      <c r="D3869" s="679"/>
      <c r="E3869" s="679"/>
      <c r="H3869" s="231">
        <f t="shared" si="120"/>
        <v>0</v>
      </c>
      <c r="I3869" s="231">
        <f t="shared" si="121"/>
        <v>0</v>
      </c>
    </row>
    <row r="3870" spans="1:12" hidden="1">
      <c r="A3870" s="1569"/>
      <c r="B3870" s="116"/>
      <c r="C3870" s="679"/>
      <c r="D3870" s="679"/>
      <c r="E3870" s="654"/>
      <c r="H3870" s="231">
        <f t="shared" si="120"/>
        <v>0</v>
      </c>
      <c r="I3870" s="231">
        <f t="shared" si="121"/>
        <v>0</v>
      </c>
    </row>
    <row r="3871" spans="1:12" hidden="1">
      <c r="A3871" s="1569"/>
      <c r="B3871" s="107"/>
      <c r="C3871" s="654"/>
      <c r="D3871" s="654"/>
      <c r="E3871" s="654"/>
      <c r="H3871" s="231">
        <f t="shared" si="120"/>
        <v>0</v>
      </c>
      <c r="I3871" s="231">
        <f t="shared" si="121"/>
        <v>0</v>
      </c>
    </row>
    <row r="3872" spans="1:12" hidden="1">
      <c r="A3872" s="1569"/>
      <c r="B3872" s="107"/>
      <c r="C3872" s="654"/>
      <c r="D3872" s="654"/>
      <c r="E3872" s="256"/>
      <c r="H3872" s="231">
        <f t="shared" si="120"/>
        <v>0</v>
      </c>
      <c r="I3872" s="231">
        <f t="shared" si="121"/>
        <v>0</v>
      </c>
    </row>
    <row r="3873" spans="1:9" hidden="1">
      <c r="A3873" s="1569"/>
      <c r="B3873" s="107"/>
      <c r="C3873" s="654"/>
      <c r="D3873" s="654"/>
      <c r="E3873" s="256"/>
      <c r="H3873" s="231">
        <f t="shared" si="120"/>
        <v>0</v>
      </c>
      <c r="I3873" s="231">
        <f t="shared" si="121"/>
        <v>0</v>
      </c>
    </row>
    <row r="3874" spans="1:9" hidden="1">
      <c r="A3874" s="1569"/>
      <c r="B3874" s="107"/>
      <c r="C3874" s="654"/>
      <c r="D3874" s="654"/>
      <c r="E3874" s="256"/>
      <c r="H3874" s="231">
        <f t="shared" si="120"/>
        <v>0</v>
      </c>
      <c r="I3874" s="231">
        <f t="shared" si="121"/>
        <v>0</v>
      </c>
    </row>
    <row r="3875" spans="1:9" hidden="1">
      <c r="A3875" s="1569"/>
      <c r="B3875" s="107"/>
      <c r="C3875" s="654"/>
      <c r="D3875" s="654"/>
      <c r="E3875" s="256"/>
      <c r="H3875" s="231">
        <f t="shared" si="120"/>
        <v>0</v>
      </c>
      <c r="I3875" s="231">
        <f t="shared" si="121"/>
        <v>0</v>
      </c>
    </row>
    <row r="3876" spans="1:9" hidden="1">
      <c r="A3876" s="1569"/>
      <c r="B3876" s="116"/>
      <c r="C3876" s="679"/>
      <c r="D3876" s="679"/>
      <c r="E3876" s="256"/>
      <c r="H3876" s="231">
        <f t="shared" si="120"/>
        <v>0</v>
      </c>
      <c r="I3876" s="231">
        <f t="shared" si="121"/>
        <v>0</v>
      </c>
    </row>
    <row r="3877" spans="1:9" hidden="1">
      <c r="A3877" s="1569"/>
      <c r="B3877" s="107"/>
      <c r="C3877" s="654"/>
      <c r="D3877" s="654"/>
      <c r="E3877" s="256"/>
      <c r="H3877" s="231">
        <f t="shared" si="120"/>
        <v>0</v>
      </c>
      <c r="I3877" s="231">
        <f t="shared" si="121"/>
        <v>0</v>
      </c>
    </row>
    <row r="3878" spans="1:9" hidden="1">
      <c r="A3878" s="1569"/>
      <c r="B3878" s="107"/>
      <c r="C3878" s="654"/>
      <c r="D3878" s="654"/>
      <c r="E3878" s="256"/>
      <c r="H3878" s="231">
        <f t="shared" si="120"/>
        <v>0</v>
      </c>
      <c r="I3878" s="231">
        <f t="shared" si="121"/>
        <v>0</v>
      </c>
    </row>
    <row r="3879" spans="1:9" hidden="1">
      <c r="A3879" s="1569"/>
      <c r="B3879" s="107"/>
      <c r="C3879" s="654"/>
      <c r="D3879" s="654"/>
      <c r="E3879" s="256"/>
      <c r="H3879" s="231">
        <f t="shared" si="120"/>
        <v>0</v>
      </c>
      <c r="I3879" s="231">
        <f t="shared" si="121"/>
        <v>0</v>
      </c>
    </row>
    <row r="3880" spans="1:9" hidden="1">
      <c r="A3880" s="1569"/>
      <c r="B3880" s="107"/>
      <c r="C3880" s="654"/>
      <c r="D3880" s="654"/>
      <c r="E3880" s="256"/>
      <c r="H3880" s="231">
        <f t="shared" si="120"/>
        <v>0</v>
      </c>
      <c r="I3880" s="231">
        <f t="shared" si="121"/>
        <v>0</v>
      </c>
    </row>
    <row r="3881" spans="1:9" hidden="1">
      <c r="A3881" s="1569"/>
      <c r="B3881" s="107"/>
      <c r="C3881" s="654"/>
      <c r="D3881" s="654"/>
      <c r="E3881" s="256"/>
      <c r="H3881" s="231">
        <f t="shared" si="120"/>
        <v>0</v>
      </c>
      <c r="I3881" s="231">
        <f t="shared" si="121"/>
        <v>0</v>
      </c>
    </row>
    <row r="3882" spans="1:9" hidden="1">
      <c r="A3882" s="1569"/>
      <c r="B3882" s="107"/>
      <c r="C3882" s="654"/>
      <c r="D3882" s="654"/>
      <c r="E3882" s="256"/>
      <c r="H3882" s="231">
        <f t="shared" si="120"/>
        <v>0</v>
      </c>
      <c r="I3882" s="231">
        <f t="shared" si="121"/>
        <v>0</v>
      </c>
    </row>
    <row r="3883" spans="1:9" hidden="1">
      <c r="A3883" s="1569"/>
      <c r="B3883" s="107"/>
      <c r="C3883" s="654"/>
      <c r="D3883" s="654"/>
      <c r="E3883" s="256"/>
      <c r="H3883" s="231">
        <f t="shared" si="120"/>
        <v>0</v>
      </c>
      <c r="I3883" s="231">
        <f t="shared" si="121"/>
        <v>0</v>
      </c>
    </row>
    <row r="3884" spans="1:9" hidden="1">
      <c r="A3884" s="1569"/>
      <c r="B3884" s="107"/>
      <c r="C3884" s="654"/>
      <c r="D3884" s="654"/>
      <c r="E3884" s="256"/>
      <c r="H3884" s="231">
        <f t="shared" si="120"/>
        <v>0</v>
      </c>
      <c r="I3884" s="231">
        <f t="shared" si="121"/>
        <v>0</v>
      </c>
    </row>
    <row r="3885" spans="1:9" hidden="1">
      <c r="A3885" s="1569"/>
      <c r="B3885" s="107"/>
      <c r="C3885" s="654"/>
      <c r="D3885" s="654"/>
      <c r="E3885" s="256"/>
      <c r="H3885" s="231">
        <f t="shared" si="120"/>
        <v>0</v>
      </c>
      <c r="I3885" s="231">
        <f t="shared" si="121"/>
        <v>0</v>
      </c>
    </row>
    <row r="3886" spans="1:9" hidden="1">
      <c r="A3886" s="1569"/>
      <c r="B3886" s="107"/>
      <c r="C3886" s="654"/>
      <c r="D3886" s="654"/>
      <c r="E3886" s="256"/>
      <c r="H3886" s="231">
        <f t="shared" si="120"/>
        <v>0</v>
      </c>
      <c r="I3886" s="231">
        <f t="shared" si="121"/>
        <v>0</v>
      </c>
    </row>
    <row r="3887" spans="1:9" hidden="1">
      <c r="A3887" s="1569"/>
      <c r="B3887" s="107"/>
      <c r="C3887" s="654"/>
      <c r="D3887" s="654"/>
      <c r="E3887" s="256"/>
      <c r="H3887" s="231">
        <f t="shared" si="120"/>
        <v>0</v>
      </c>
      <c r="I3887" s="231">
        <f t="shared" si="121"/>
        <v>0</v>
      </c>
    </row>
    <row r="3888" spans="1:9" hidden="1">
      <c r="A3888" s="1569"/>
      <c r="B3888" s="107"/>
      <c r="C3888" s="654"/>
      <c r="D3888" s="654"/>
      <c r="E3888" s="256"/>
      <c r="H3888" s="231">
        <f t="shared" si="120"/>
        <v>0</v>
      </c>
      <c r="I3888" s="231">
        <f t="shared" si="121"/>
        <v>0</v>
      </c>
    </row>
    <row r="3889" spans="1:12" hidden="1">
      <c r="A3889" s="1569"/>
      <c r="B3889" s="107"/>
      <c r="C3889" s="654"/>
      <c r="D3889" s="654"/>
      <c r="E3889" s="256"/>
      <c r="H3889" s="231">
        <f t="shared" si="120"/>
        <v>0</v>
      </c>
      <c r="I3889" s="231">
        <f t="shared" si="121"/>
        <v>0</v>
      </c>
    </row>
    <row r="3890" spans="1:12" hidden="1">
      <c r="A3890" s="1569"/>
      <c r="B3890" s="107"/>
      <c r="C3890" s="654"/>
      <c r="D3890" s="654"/>
      <c r="E3890" s="256"/>
      <c r="H3890" s="231">
        <f t="shared" si="120"/>
        <v>0</v>
      </c>
      <c r="I3890" s="231">
        <f t="shared" si="121"/>
        <v>0</v>
      </c>
    </row>
    <row r="3891" spans="1:12" hidden="1">
      <c r="A3891" s="1569"/>
      <c r="B3891" s="107"/>
      <c r="C3891" s="654"/>
      <c r="D3891" s="654"/>
      <c r="E3891" s="256"/>
      <c r="H3891" s="231">
        <f t="shared" si="120"/>
        <v>0</v>
      </c>
      <c r="I3891" s="231">
        <f t="shared" si="121"/>
        <v>0</v>
      </c>
    </row>
    <row r="3892" spans="1:12" hidden="1">
      <c r="A3892" s="1569"/>
      <c r="B3892" s="107"/>
      <c r="C3892" s="654"/>
      <c r="D3892" s="654"/>
      <c r="E3892" s="256"/>
      <c r="H3892" s="231">
        <f t="shared" si="120"/>
        <v>0</v>
      </c>
      <c r="I3892" s="231">
        <f t="shared" si="121"/>
        <v>0</v>
      </c>
    </row>
    <row r="3893" spans="1:12" hidden="1">
      <c r="A3893" s="1569"/>
      <c r="B3893" s="107"/>
      <c r="C3893" s="654"/>
      <c r="D3893" s="654"/>
      <c r="E3893" s="256"/>
      <c r="H3893" s="231">
        <f t="shared" si="120"/>
        <v>0</v>
      </c>
      <c r="I3893" s="231">
        <f t="shared" si="121"/>
        <v>0</v>
      </c>
    </row>
    <row r="3894" spans="1:12" hidden="1">
      <c r="A3894" s="1569"/>
      <c r="B3894" s="107"/>
      <c r="C3894" s="654"/>
      <c r="D3894" s="654"/>
      <c r="E3894" s="256"/>
      <c r="H3894" s="231">
        <f t="shared" si="120"/>
        <v>0</v>
      </c>
      <c r="I3894" s="231">
        <f t="shared" si="121"/>
        <v>0</v>
      </c>
    </row>
    <row r="3895" spans="1:12" hidden="1">
      <c r="A3895" s="1569"/>
      <c r="B3895" s="107"/>
      <c r="C3895" s="654"/>
      <c r="D3895" s="654"/>
      <c r="E3895" s="256"/>
      <c r="H3895" s="231">
        <f t="shared" si="120"/>
        <v>0</v>
      </c>
      <c r="I3895" s="231">
        <f t="shared" si="121"/>
        <v>0</v>
      </c>
    </row>
    <row r="3896" spans="1:12">
      <c r="A3896" s="1659"/>
      <c r="B3896" s="209" t="s">
        <v>985</v>
      </c>
      <c r="C3896" s="581">
        <f>SUM(C3862:C3895)</f>
        <v>110000</v>
      </c>
      <c r="D3896" s="581">
        <f>SUM(D3862:D3895)</f>
        <v>0</v>
      </c>
      <c r="E3896" s="581">
        <f>SUM(E3862:E3895)</f>
        <v>110000</v>
      </c>
      <c r="H3896" s="1497">
        <f t="shared" si="120"/>
        <v>0</v>
      </c>
      <c r="I3896" s="1497">
        <f t="shared" si="121"/>
        <v>220000</v>
      </c>
      <c r="J3896" s="1440"/>
      <c r="K3896" s="1490"/>
      <c r="L3896" s="1490"/>
    </row>
    <row r="3897" spans="1:12" ht="56.25">
      <c r="A3897" s="1568" t="s">
        <v>1127</v>
      </c>
      <c r="B3897" s="425" t="s">
        <v>1861</v>
      </c>
      <c r="C3897" s="1227">
        <v>6000</v>
      </c>
      <c r="D3897" s="1227">
        <v>6000</v>
      </c>
      <c r="E3897" s="1227"/>
      <c r="H3897" s="1497">
        <f t="shared" si="120"/>
        <v>0</v>
      </c>
      <c r="I3897" s="1497">
        <f t="shared" si="121"/>
        <v>12000</v>
      </c>
      <c r="J3897" s="1440"/>
      <c r="K3897" s="1490"/>
      <c r="L3897" s="1490"/>
    </row>
    <row r="3898" spans="1:12" ht="56.25">
      <c r="A3898" s="1569"/>
      <c r="B3898" s="425" t="s">
        <v>1862</v>
      </c>
      <c r="C3898" s="1227">
        <v>3000</v>
      </c>
      <c r="D3898" s="1227">
        <v>3000</v>
      </c>
      <c r="E3898" s="1227"/>
      <c r="H3898" s="1497">
        <f t="shared" si="120"/>
        <v>0</v>
      </c>
      <c r="I3898" s="1497">
        <f t="shared" si="121"/>
        <v>6000</v>
      </c>
      <c r="J3898" s="1440"/>
      <c r="K3898" s="1490"/>
      <c r="L3898" s="1490"/>
    </row>
    <row r="3899" spans="1:12" hidden="1">
      <c r="A3899" s="1569"/>
      <c r="B3899" s="107"/>
      <c r="C3899" s="649"/>
      <c r="D3899" s="649"/>
      <c r="E3899" s="256"/>
      <c r="H3899" s="231">
        <f t="shared" si="120"/>
        <v>0</v>
      </c>
      <c r="I3899" s="231">
        <f t="shared" si="121"/>
        <v>0</v>
      </c>
    </row>
    <row r="3900" spans="1:12" hidden="1">
      <c r="A3900" s="1569"/>
      <c r="B3900" s="371"/>
      <c r="C3900" s="829"/>
      <c r="D3900" s="829"/>
      <c r="E3900" s="829"/>
      <c r="H3900" s="231">
        <f t="shared" si="120"/>
        <v>0</v>
      </c>
      <c r="I3900" s="231">
        <f t="shared" si="121"/>
        <v>0</v>
      </c>
    </row>
    <row r="3901" spans="1:12" hidden="1">
      <c r="A3901" s="1569"/>
      <c r="B3901" s="371"/>
      <c r="C3901" s="850"/>
      <c r="D3901" s="850"/>
      <c r="E3901" s="844"/>
      <c r="H3901" s="231">
        <f t="shared" si="120"/>
        <v>0</v>
      </c>
      <c r="I3901" s="231">
        <f t="shared" si="121"/>
        <v>0</v>
      </c>
    </row>
    <row r="3902" spans="1:12" hidden="1">
      <c r="A3902" s="1569"/>
      <c r="B3902" s="821"/>
      <c r="C3902" s="851"/>
      <c r="D3902" s="851"/>
      <c r="E3902" s="852"/>
      <c r="H3902" s="231">
        <f t="shared" si="120"/>
        <v>0</v>
      </c>
      <c r="I3902" s="231">
        <f t="shared" si="121"/>
        <v>0</v>
      </c>
    </row>
    <row r="3903" spans="1:12" hidden="1">
      <c r="A3903" s="1569"/>
      <c r="B3903" s="107"/>
      <c r="C3903" s="654"/>
      <c r="D3903" s="654"/>
      <c r="E3903" s="654"/>
      <c r="H3903" s="231">
        <f t="shared" si="120"/>
        <v>0</v>
      </c>
      <c r="I3903" s="231">
        <f t="shared" si="121"/>
        <v>0</v>
      </c>
    </row>
    <row r="3904" spans="1:12" hidden="1">
      <c r="A3904" s="1569"/>
      <c r="B3904" s="116"/>
      <c r="C3904" s="679"/>
      <c r="D3904" s="679"/>
      <c r="E3904" s="679"/>
      <c r="H3904" s="231">
        <f t="shared" si="120"/>
        <v>0</v>
      </c>
      <c r="I3904" s="231">
        <f t="shared" si="121"/>
        <v>0</v>
      </c>
    </row>
    <row r="3905" spans="1:9" hidden="1">
      <c r="A3905" s="1569"/>
      <c r="B3905" s="116"/>
      <c r="C3905" s="679"/>
      <c r="D3905" s="679"/>
      <c r="E3905" s="654"/>
      <c r="H3905" s="231">
        <f t="shared" si="120"/>
        <v>0</v>
      </c>
      <c r="I3905" s="231">
        <f t="shared" si="121"/>
        <v>0</v>
      </c>
    </row>
    <row r="3906" spans="1:9" hidden="1">
      <c r="A3906" s="1569"/>
      <c r="B3906" s="107"/>
      <c r="C3906" s="654"/>
      <c r="D3906" s="654"/>
      <c r="E3906" s="654"/>
      <c r="H3906" s="231">
        <f t="shared" si="120"/>
        <v>0</v>
      </c>
      <c r="I3906" s="231">
        <f t="shared" si="121"/>
        <v>0</v>
      </c>
    </row>
    <row r="3907" spans="1:9" hidden="1">
      <c r="A3907" s="1569"/>
      <c r="B3907" s="107"/>
      <c r="C3907" s="654"/>
      <c r="D3907" s="654"/>
      <c r="E3907" s="256"/>
      <c r="H3907" s="231">
        <f t="shared" si="120"/>
        <v>0</v>
      </c>
      <c r="I3907" s="231">
        <f t="shared" si="121"/>
        <v>0</v>
      </c>
    </row>
    <row r="3908" spans="1:9" hidden="1">
      <c r="A3908" s="1569"/>
      <c r="B3908" s="107"/>
      <c r="C3908" s="654"/>
      <c r="D3908" s="654"/>
      <c r="E3908" s="256"/>
      <c r="H3908" s="231">
        <f t="shared" si="120"/>
        <v>0</v>
      </c>
      <c r="I3908" s="231">
        <f t="shared" si="121"/>
        <v>0</v>
      </c>
    </row>
    <row r="3909" spans="1:9" hidden="1">
      <c r="A3909" s="1569"/>
      <c r="B3909" s="107"/>
      <c r="C3909" s="654"/>
      <c r="D3909" s="654"/>
      <c r="E3909" s="256"/>
      <c r="H3909" s="231">
        <f t="shared" si="120"/>
        <v>0</v>
      </c>
      <c r="I3909" s="231">
        <f t="shared" si="121"/>
        <v>0</v>
      </c>
    </row>
    <row r="3910" spans="1:9" hidden="1">
      <c r="A3910" s="1569"/>
      <c r="B3910" s="107"/>
      <c r="C3910" s="654"/>
      <c r="D3910" s="654"/>
      <c r="E3910" s="256"/>
      <c r="H3910" s="231">
        <f t="shared" si="120"/>
        <v>0</v>
      </c>
      <c r="I3910" s="231">
        <f t="shared" si="121"/>
        <v>0</v>
      </c>
    </row>
    <row r="3911" spans="1:9" hidden="1">
      <c r="A3911" s="1569"/>
      <c r="B3911" s="116"/>
      <c r="C3911" s="679"/>
      <c r="D3911" s="679"/>
      <c r="E3911" s="256"/>
      <c r="H3911" s="231">
        <f t="shared" si="120"/>
        <v>0</v>
      </c>
      <c r="I3911" s="231">
        <f t="shared" si="121"/>
        <v>0</v>
      </c>
    </row>
    <row r="3912" spans="1:9" hidden="1">
      <c r="A3912" s="1569"/>
      <c r="B3912" s="107"/>
      <c r="C3912" s="654"/>
      <c r="D3912" s="654"/>
      <c r="E3912" s="256"/>
      <c r="H3912" s="231">
        <f t="shared" si="120"/>
        <v>0</v>
      </c>
      <c r="I3912" s="231">
        <f t="shared" si="121"/>
        <v>0</v>
      </c>
    </row>
    <row r="3913" spans="1:9" hidden="1">
      <c r="A3913" s="1569"/>
      <c r="B3913" s="107"/>
      <c r="C3913" s="654"/>
      <c r="D3913" s="654"/>
      <c r="E3913" s="256"/>
      <c r="H3913" s="231">
        <f t="shared" ref="H3913:H3976" si="122">E3913+D3913-C3913</f>
        <v>0</v>
      </c>
      <c r="I3913" s="231">
        <f t="shared" ref="I3913:I3976" si="123">SUM(C3913:E3913)</f>
        <v>0</v>
      </c>
    </row>
    <row r="3914" spans="1:9" hidden="1">
      <c r="A3914" s="1569"/>
      <c r="B3914" s="107"/>
      <c r="C3914" s="654"/>
      <c r="D3914" s="654"/>
      <c r="E3914" s="256"/>
      <c r="H3914" s="231">
        <f t="shared" si="122"/>
        <v>0</v>
      </c>
      <c r="I3914" s="231">
        <f t="shared" si="123"/>
        <v>0</v>
      </c>
    </row>
    <row r="3915" spans="1:9" hidden="1">
      <c r="A3915" s="1569"/>
      <c r="B3915" s="107"/>
      <c r="C3915" s="654"/>
      <c r="D3915" s="654"/>
      <c r="E3915" s="256"/>
      <c r="H3915" s="231">
        <f t="shared" si="122"/>
        <v>0</v>
      </c>
      <c r="I3915" s="231">
        <f t="shared" si="123"/>
        <v>0</v>
      </c>
    </row>
    <row r="3916" spans="1:9" hidden="1">
      <c r="A3916" s="1569"/>
      <c r="B3916" s="107"/>
      <c r="C3916" s="654"/>
      <c r="D3916" s="654"/>
      <c r="E3916" s="256"/>
      <c r="H3916" s="231">
        <f t="shared" si="122"/>
        <v>0</v>
      </c>
      <c r="I3916" s="231">
        <f t="shared" si="123"/>
        <v>0</v>
      </c>
    </row>
    <row r="3917" spans="1:9" hidden="1">
      <c r="A3917" s="1569"/>
      <c r="B3917" s="107"/>
      <c r="C3917" s="654"/>
      <c r="D3917" s="654"/>
      <c r="E3917" s="256"/>
      <c r="H3917" s="231">
        <f t="shared" si="122"/>
        <v>0</v>
      </c>
      <c r="I3917" s="231">
        <f t="shared" si="123"/>
        <v>0</v>
      </c>
    </row>
    <row r="3918" spans="1:9" hidden="1">
      <c r="A3918" s="1569"/>
      <c r="B3918" s="107"/>
      <c r="C3918" s="654"/>
      <c r="D3918" s="654"/>
      <c r="E3918" s="256"/>
      <c r="H3918" s="231">
        <f t="shared" si="122"/>
        <v>0</v>
      </c>
      <c r="I3918" s="231">
        <f t="shared" si="123"/>
        <v>0</v>
      </c>
    </row>
    <row r="3919" spans="1:9" hidden="1">
      <c r="A3919" s="1569"/>
      <c r="B3919" s="107"/>
      <c r="C3919" s="654"/>
      <c r="D3919" s="654"/>
      <c r="E3919" s="256"/>
      <c r="H3919" s="231">
        <f t="shared" si="122"/>
        <v>0</v>
      </c>
      <c r="I3919" s="231">
        <f t="shared" si="123"/>
        <v>0</v>
      </c>
    </row>
    <row r="3920" spans="1:9" hidden="1">
      <c r="A3920" s="1569"/>
      <c r="B3920" s="107"/>
      <c r="C3920" s="654"/>
      <c r="D3920" s="654"/>
      <c r="E3920" s="256"/>
      <c r="H3920" s="231">
        <f t="shared" si="122"/>
        <v>0</v>
      </c>
      <c r="I3920" s="231">
        <f t="shared" si="123"/>
        <v>0</v>
      </c>
    </row>
    <row r="3921" spans="1:12" hidden="1">
      <c r="A3921" s="1569"/>
      <c r="B3921" s="107"/>
      <c r="C3921" s="654"/>
      <c r="D3921" s="654"/>
      <c r="E3921" s="256"/>
      <c r="H3921" s="231">
        <f t="shared" si="122"/>
        <v>0</v>
      </c>
      <c r="I3921" s="231">
        <f t="shared" si="123"/>
        <v>0</v>
      </c>
    </row>
    <row r="3922" spans="1:12" hidden="1">
      <c r="A3922" s="1569"/>
      <c r="B3922" s="107"/>
      <c r="C3922" s="654"/>
      <c r="D3922" s="654"/>
      <c r="E3922" s="256"/>
      <c r="H3922" s="231">
        <f t="shared" si="122"/>
        <v>0</v>
      </c>
      <c r="I3922" s="231">
        <f t="shared" si="123"/>
        <v>0</v>
      </c>
    </row>
    <row r="3923" spans="1:12" hidden="1">
      <c r="A3923" s="1569"/>
      <c r="B3923" s="107"/>
      <c r="C3923" s="654"/>
      <c r="D3923" s="654"/>
      <c r="E3923" s="256"/>
      <c r="H3923" s="231">
        <f t="shared" si="122"/>
        <v>0</v>
      </c>
      <c r="I3923" s="231">
        <f t="shared" si="123"/>
        <v>0</v>
      </c>
    </row>
    <row r="3924" spans="1:12" hidden="1">
      <c r="A3924" s="1569"/>
      <c r="B3924" s="107"/>
      <c r="C3924" s="654"/>
      <c r="D3924" s="654"/>
      <c r="E3924" s="256"/>
      <c r="H3924" s="231">
        <f t="shared" si="122"/>
        <v>0</v>
      </c>
      <c r="I3924" s="231">
        <f t="shared" si="123"/>
        <v>0</v>
      </c>
    </row>
    <row r="3925" spans="1:12" hidden="1">
      <c r="A3925" s="1569"/>
      <c r="B3925" s="107"/>
      <c r="C3925" s="654"/>
      <c r="D3925" s="654"/>
      <c r="E3925" s="256"/>
      <c r="H3925" s="231">
        <f t="shared" si="122"/>
        <v>0</v>
      </c>
      <c r="I3925" s="231">
        <f t="shared" si="123"/>
        <v>0</v>
      </c>
    </row>
    <row r="3926" spans="1:12" hidden="1">
      <c r="A3926" s="1569"/>
      <c r="B3926" s="107"/>
      <c r="C3926" s="654"/>
      <c r="D3926" s="654"/>
      <c r="E3926" s="256"/>
      <c r="H3926" s="231">
        <f t="shared" si="122"/>
        <v>0</v>
      </c>
      <c r="I3926" s="231">
        <f t="shared" si="123"/>
        <v>0</v>
      </c>
    </row>
    <row r="3927" spans="1:12" hidden="1">
      <c r="A3927" s="1569"/>
      <c r="B3927" s="107"/>
      <c r="C3927" s="654"/>
      <c r="D3927" s="654"/>
      <c r="E3927" s="256"/>
      <c r="H3927" s="231">
        <f t="shared" si="122"/>
        <v>0</v>
      </c>
      <c r="I3927" s="231">
        <f t="shared" si="123"/>
        <v>0</v>
      </c>
    </row>
    <row r="3928" spans="1:12" hidden="1">
      <c r="A3928" s="1569"/>
      <c r="B3928" s="107"/>
      <c r="C3928" s="654"/>
      <c r="D3928" s="654"/>
      <c r="E3928" s="256"/>
      <c r="H3928" s="231">
        <f t="shared" si="122"/>
        <v>0</v>
      </c>
      <c r="I3928" s="231">
        <f t="shared" si="123"/>
        <v>0</v>
      </c>
    </row>
    <row r="3929" spans="1:12" hidden="1">
      <c r="A3929" s="1569"/>
      <c r="B3929" s="107"/>
      <c r="C3929" s="654"/>
      <c r="D3929" s="654"/>
      <c r="E3929" s="256"/>
      <c r="H3929" s="231">
        <f t="shared" si="122"/>
        <v>0</v>
      </c>
      <c r="I3929" s="231">
        <f t="shared" si="123"/>
        <v>0</v>
      </c>
    </row>
    <row r="3930" spans="1:12" hidden="1">
      <c r="A3930" s="1569"/>
      <c r="B3930" s="107"/>
      <c r="C3930" s="654"/>
      <c r="D3930" s="654"/>
      <c r="E3930" s="256"/>
      <c r="H3930" s="231">
        <f t="shared" si="122"/>
        <v>0</v>
      </c>
      <c r="I3930" s="231">
        <f t="shared" si="123"/>
        <v>0</v>
      </c>
    </row>
    <row r="3931" spans="1:12">
      <c r="A3931" s="1659"/>
      <c r="B3931" s="209" t="s">
        <v>985</v>
      </c>
      <c r="C3931" s="581">
        <f>SUM(C3897:C3930)</f>
        <v>9000</v>
      </c>
      <c r="D3931" s="581">
        <f>SUM(D3897:D3930)</f>
        <v>9000</v>
      </c>
      <c r="E3931" s="581">
        <f>SUM(E3897:E3930)</f>
        <v>0</v>
      </c>
      <c r="H3931" s="1497">
        <f t="shared" si="122"/>
        <v>0</v>
      </c>
      <c r="I3931" s="1497">
        <f t="shared" si="123"/>
        <v>18000</v>
      </c>
      <c r="J3931" s="1440"/>
      <c r="K3931" s="1490"/>
      <c r="L3931" s="1490"/>
    </row>
    <row r="3932" spans="1:12" ht="37.5">
      <c r="A3932" s="1568" t="s">
        <v>1128</v>
      </c>
      <c r="B3932" s="1215" t="s">
        <v>1295</v>
      </c>
      <c r="C3932" s="1214">
        <v>30000</v>
      </c>
      <c r="D3932" s="256">
        <v>30000</v>
      </c>
      <c r="E3932" s="256"/>
      <c r="H3932" s="1497">
        <f t="shared" si="122"/>
        <v>0</v>
      </c>
      <c r="I3932" s="1497">
        <f t="shared" si="123"/>
        <v>60000</v>
      </c>
      <c r="J3932" s="1440"/>
      <c r="K3932" s="1490"/>
      <c r="L3932" s="1490"/>
    </row>
    <row r="3933" spans="1:12" ht="37.5">
      <c r="A3933" s="1569"/>
      <c r="B3933" s="1215" t="s">
        <v>1429</v>
      </c>
      <c r="C3933" s="1214">
        <v>40000</v>
      </c>
      <c r="D3933" s="256"/>
      <c r="E3933" s="256">
        <v>40000</v>
      </c>
      <c r="H3933" s="1497">
        <f t="shared" si="122"/>
        <v>0</v>
      </c>
      <c r="I3933" s="1497">
        <f t="shared" si="123"/>
        <v>80000</v>
      </c>
      <c r="J3933" s="1440"/>
      <c r="K3933" s="1490"/>
      <c r="L3933" s="1490"/>
    </row>
    <row r="3934" spans="1:12" ht="112.5">
      <c r="A3934" s="1569"/>
      <c r="B3934" s="1215" t="s">
        <v>1430</v>
      </c>
      <c r="C3934" s="1214">
        <v>21000</v>
      </c>
      <c r="D3934" s="256">
        <v>3000</v>
      </c>
      <c r="E3934" s="256">
        <v>18000</v>
      </c>
      <c r="H3934" s="1497">
        <f t="shared" si="122"/>
        <v>0</v>
      </c>
      <c r="I3934" s="1497">
        <f t="shared" si="123"/>
        <v>42000</v>
      </c>
      <c r="J3934" s="1440"/>
      <c r="K3934" s="1490"/>
      <c r="L3934" s="1490"/>
    </row>
    <row r="3935" spans="1:12" ht="56.25">
      <c r="A3935" s="1569"/>
      <c r="B3935" s="1215" t="s">
        <v>1431</v>
      </c>
      <c r="C3935" s="1214">
        <v>25000</v>
      </c>
      <c r="D3935" s="256"/>
      <c r="E3935" s="256">
        <v>25000</v>
      </c>
      <c r="H3935" s="1497">
        <f t="shared" si="122"/>
        <v>0</v>
      </c>
      <c r="I3935" s="1497">
        <f t="shared" si="123"/>
        <v>50000</v>
      </c>
      <c r="J3935" s="1440"/>
      <c r="K3935" s="1490"/>
      <c r="L3935" s="1490"/>
    </row>
    <row r="3936" spans="1:12" ht="112.5">
      <c r="A3936" s="1569"/>
      <c r="B3936" s="1215" t="s">
        <v>1432</v>
      </c>
      <c r="C3936" s="1214">
        <v>50000</v>
      </c>
      <c r="D3936" s="256"/>
      <c r="E3936" s="256">
        <v>50000</v>
      </c>
      <c r="H3936" s="1497">
        <f t="shared" si="122"/>
        <v>0</v>
      </c>
      <c r="I3936" s="1497">
        <f t="shared" si="123"/>
        <v>100000</v>
      </c>
      <c r="J3936" s="1440"/>
      <c r="K3936" s="1490"/>
      <c r="L3936" s="1490"/>
    </row>
    <row r="3937" spans="1:12" ht="37.5">
      <c r="A3937" s="1569"/>
      <c r="B3937" s="1215" t="s">
        <v>1433</v>
      </c>
      <c r="C3937" s="1214">
        <v>50000</v>
      </c>
      <c r="D3937" s="256">
        <v>50000</v>
      </c>
      <c r="E3937" s="256"/>
      <c r="H3937" s="1497">
        <f t="shared" si="122"/>
        <v>0</v>
      </c>
      <c r="I3937" s="1497">
        <f t="shared" si="123"/>
        <v>100000</v>
      </c>
      <c r="J3937" s="1440"/>
      <c r="K3937" s="1490"/>
      <c r="L3937" s="1490"/>
    </row>
    <row r="3938" spans="1:12" ht="56.25">
      <c r="A3938" s="1569"/>
      <c r="B3938" s="1215" t="s">
        <v>1434</v>
      </c>
      <c r="C3938" s="1214">
        <v>15000</v>
      </c>
      <c r="D3938" s="256"/>
      <c r="E3938" s="256">
        <v>15000</v>
      </c>
      <c r="H3938" s="1497">
        <f t="shared" si="122"/>
        <v>0</v>
      </c>
      <c r="I3938" s="1497">
        <f t="shared" si="123"/>
        <v>30000</v>
      </c>
      <c r="J3938" s="1440"/>
      <c r="K3938" s="1490"/>
      <c r="L3938" s="1490"/>
    </row>
    <row r="3939" spans="1:12" ht="56.25">
      <c r="A3939" s="1569"/>
      <c r="B3939" s="1215" t="s">
        <v>1435</v>
      </c>
      <c r="C3939" s="1214">
        <v>10000</v>
      </c>
      <c r="D3939" s="256">
        <v>10000</v>
      </c>
      <c r="E3939" s="256"/>
      <c r="H3939" s="1497">
        <f t="shared" si="122"/>
        <v>0</v>
      </c>
      <c r="I3939" s="1497">
        <f t="shared" si="123"/>
        <v>20000</v>
      </c>
      <c r="J3939" s="1440"/>
      <c r="K3939" s="1490"/>
      <c r="L3939" s="1490"/>
    </row>
    <row r="3940" spans="1:12" ht="37.5">
      <c r="A3940" s="1569"/>
      <c r="B3940" s="1215" t="s">
        <v>1436</v>
      </c>
      <c r="C3940" s="1214">
        <v>10000</v>
      </c>
      <c r="D3940" s="256"/>
      <c r="E3940" s="256">
        <v>10000</v>
      </c>
      <c r="H3940" s="1497">
        <f t="shared" si="122"/>
        <v>0</v>
      </c>
      <c r="I3940" s="1497">
        <f t="shared" si="123"/>
        <v>20000</v>
      </c>
      <c r="J3940" s="1440"/>
      <c r="K3940" s="1490"/>
      <c r="L3940" s="1490"/>
    </row>
    <row r="3941" spans="1:12" ht="56.25">
      <c r="A3941" s="1569"/>
      <c r="B3941" s="1215" t="s">
        <v>1437</v>
      </c>
      <c r="C3941" s="1214">
        <v>10000</v>
      </c>
      <c r="D3941" s="256">
        <v>10000</v>
      </c>
      <c r="E3941" s="256"/>
      <c r="H3941" s="1497">
        <f t="shared" si="122"/>
        <v>0</v>
      </c>
      <c r="I3941" s="1497">
        <f t="shared" si="123"/>
        <v>20000</v>
      </c>
      <c r="J3941" s="1440"/>
      <c r="K3941" s="1490"/>
      <c r="L3941" s="1490"/>
    </row>
    <row r="3942" spans="1:12" ht="56.25">
      <c r="A3942" s="1569"/>
      <c r="B3942" s="1215" t="s">
        <v>1438</v>
      </c>
      <c r="C3942" s="1214">
        <v>30000</v>
      </c>
      <c r="D3942" s="256"/>
      <c r="E3942" s="256">
        <v>30000</v>
      </c>
      <c r="H3942" s="1497">
        <f t="shared" si="122"/>
        <v>0</v>
      </c>
      <c r="I3942" s="1497">
        <f t="shared" si="123"/>
        <v>60000</v>
      </c>
      <c r="J3942" s="1440"/>
      <c r="K3942" s="1490"/>
      <c r="L3942" s="1490"/>
    </row>
    <row r="3943" spans="1:12" ht="56.25">
      <c r="A3943" s="1569"/>
      <c r="B3943" s="1215" t="s">
        <v>1439</v>
      </c>
      <c r="C3943" s="1214">
        <v>20000</v>
      </c>
      <c r="D3943" s="256">
        <v>20000</v>
      </c>
      <c r="E3943" s="256"/>
      <c r="H3943" s="1497">
        <f t="shared" si="122"/>
        <v>0</v>
      </c>
      <c r="I3943" s="1497">
        <f t="shared" si="123"/>
        <v>40000</v>
      </c>
      <c r="J3943" s="1440"/>
      <c r="K3943" s="1490"/>
      <c r="L3943" s="1490"/>
    </row>
    <row r="3944" spans="1:12" ht="56.25">
      <c r="A3944" s="1569"/>
      <c r="B3944" s="1215" t="s">
        <v>1440</v>
      </c>
      <c r="C3944" s="1214">
        <v>10000</v>
      </c>
      <c r="D3944" s="256"/>
      <c r="E3944" s="256">
        <v>10000</v>
      </c>
      <c r="H3944" s="1497">
        <f t="shared" si="122"/>
        <v>0</v>
      </c>
      <c r="I3944" s="1497">
        <f t="shared" si="123"/>
        <v>20000</v>
      </c>
      <c r="J3944" s="1440"/>
      <c r="K3944" s="1490"/>
      <c r="L3944" s="1490"/>
    </row>
    <row r="3945" spans="1:12" ht="93.75">
      <c r="A3945" s="1569"/>
      <c r="B3945" s="425" t="s">
        <v>1863</v>
      </c>
      <c r="C3945" s="817">
        <v>97000</v>
      </c>
      <c r="D3945" s="1226"/>
      <c r="E3945" s="1226">
        <v>97000</v>
      </c>
      <c r="H3945" s="1497">
        <f t="shared" si="122"/>
        <v>0</v>
      </c>
      <c r="I3945" s="1497">
        <f t="shared" si="123"/>
        <v>194000</v>
      </c>
      <c r="J3945" s="1440"/>
      <c r="K3945" s="1490"/>
      <c r="L3945" s="1490"/>
    </row>
    <row r="3946" spans="1:12" ht="75">
      <c r="A3946" s="1569"/>
      <c r="B3946" s="425" t="s">
        <v>1864</v>
      </c>
      <c r="C3946" s="1227">
        <v>20000</v>
      </c>
      <c r="D3946" s="1227"/>
      <c r="E3946" s="1227">
        <v>20000</v>
      </c>
      <c r="H3946" s="1497">
        <f t="shared" si="122"/>
        <v>0</v>
      </c>
      <c r="I3946" s="1497">
        <f t="shared" si="123"/>
        <v>40000</v>
      </c>
      <c r="J3946" s="1440"/>
      <c r="K3946" s="1490"/>
      <c r="L3946" s="1490"/>
    </row>
    <row r="3947" spans="1:12" ht="75">
      <c r="A3947" s="1569"/>
      <c r="B3947" s="425" t="s">
        <v>1865</v>
      </c>
      <c r="C3947" s="1227">
        <v>8000</v>
      </c>
      <c r="D3947" s="1227">
        <v>8000</v>
      </c>
      <c r="E3947" s="1227"/>
      <c r="H3947" s="1497">
        <f t="shared" si="122"/>
        <v>0</v>
      </c>
      <c r="I3947" s="1497">
        <f t="shared" si="123"/>
        <v>16000</v>
      </c>
      <c r="J3947" s="1440"/>
      <c r="K3947" s="1490"/>
      <c r="L3947" s="1490"/>
    </row>
    <row r="3948" spans="1:12" ht="56.25">
      <c r="A3948" s="1569"/>
      <c r="B3948" s="425" t="s">
        <v>1866</v>
      </c>
      <c r="C3948" s="1227">
        <v>9000</v>
      </c>
      <c r="D3948" s="1227"/>
      <c r="E3948" s="1227">
        <v>9000</v>
      </c>
      <c r="H3948" s="1497">
        <f t="shared" si="122"/>
        <v>0</v>
      </c>
      <c r="I3948" s="1497">
        <f t="shared" si="123"/>
        <v>18000</v>
      </c>
      <c r="J3948" s="1440"/>
      <c r="K3948" s="1490"/>
      <c r="L3948" s="1490"/>
    </row>
    <row r="3949" spans="1:12" ht="112.5">
      <c r="A3949" s="1569"/>
      <c r="B3949" s="425" t="s">
        <v>1867</v>
      </c>
      <c r="C3949" s="1227">
        <v>16000</v>
      </c>
      <c r="D3949" s="1227"/>
      <c r="E3949" s="1227">
        <v>16000</v>
      </c>
      <c r="H3949" s="1497">
        <f t="shared" si="122"/>
        <v>0</v>
      </c>
      <c r="I3949" s="1497">
        <f t="shared" si="123"/>
        <v>32000</v>
      </c>
      <c r="J3949" s="1440"/>
      <c r="K3949" s="1490"/>
      <c r="L3949" s="1490"/>
    </row>
    <row r="3950" spans="1:12" ht="75">
      <c r="A3950" s="1569"/>
      <c r="B3950" s="425" t="s">
        <v>1868</v>
      </c>
      <c r="C3950" s="1227">
        <v>30000</v>
      </c>
      <c r="D3950" s="1227"/>
      <c r="E3950" s="1227">
        <v>30000</v>
      </c>
      <c r="H3950" s="1497">
        <f t="shared" si="122"/>
        <v>0</v>
      </c>
      <c r="I3950" s="1497">
        <f t="shared" si="123"/>
        <v>60000</v>
      </c>
      <c r="J3950" s="1440"/>
      <c r="K3950" s="1490"/>
      <c r="L3950" s="1490"/>
    </row>
    <row r="3951" spans="1:12" ht="75">
      <c r="A3951" s="1569"/>
      <c r="B3951" s="425" t="s">
        <v>1869</v>
      </c>
      <c r="C3951" s="1227">
        <v>25000</v>
      </c>
      <c r="D3951" s="1227"/>
      <c r="E3951" s="1227">
        <v>25000</v>
      </c>
      <c r="H3951" s="1497">
        <f t="shared" si="122"/>
        <v>0</v>
      </c>
      <c r="I3951" s="1497">
        <f t="shared" si="123"/>
        <v>50000</v>
      </c>
      <c r="J3951" s="1440"/>
      <c r="K3951" s="1490"/>
      <c r="L3951" s="1490"/>
    </row>
    <row r="3952" spans="1:12" hidden="1">
      <c r="A3952" s="1569"/>
      <c r="B3952" s="107"/>
      <c r="C3952" s="256"/>
      <c r="D3952" s="256"/>
      <c r="E3952" s="256"/>
      <c r="H3952" s="231">
        <f t="shared" si="122"/>
        <v>0</v>
      </c>
      <c r="I3952" s="231">
        <f t="shared" si="123"/>
        <v>0</v>
      </c>
    </row>
    <row r="3953" spans="1:12" hidden="1">
      <c r="A3953" s="1569"/>
      <c r="B3953" s="107"/>
      <c r="C3953" s="256"/>
      <c r="D3953" s="256"/>
      <c r="E3953" s="256"/>
      <c r="H3953" s="231">
        <f t="shared" si="122"/>
        <v>0</v>
      </c>
      <c r="I3953" s="231">
        <f t="shared" si="123"/>
        <v>0</v>
      </c>
    </row>
    <row r="3954" spans="1:12" hidden="1">
      <c r="A3954" s="1569"/>
      <c r="B3954" s="107"/>
      <c r="C3954" s="256"/>
      <c r="D3954" s="256"/>
      <c r="E3954" s="256"/>
      <c r="H3954" s="231">
        <f t="shared" si="122"/>
        <v>0</v>
      </c>
      <c r="I3954" s="231">
        <f t="shared" si="123"/>
        <v>0</v>
      </c>
    </row>
    <row r="3955" spans="1:12" hidden="1">
      <c r="A3955" s="1569"/>
      <c r="B3955" s="371"/>
      <c r="C3955" s="829"/>
      <c r="D3955" s="829"/>
      <c r="E3955" s="829"/>
      <c r="H3955" s="231">
        <f t="shared" si="122"/>
        <v>0</v>
      </c>
      <c r="I3955" s="231">
        <f t="shared" si="123"/>
        <v>0</v>
      </c>
    </row>
    <row r="3956" spans="1:12" hidden="1">
      <c r="A3956" s="1569"/>
      <c r="B3956" s="857"/>
      <c r="C3956" s="833"/>
      <c r="D3956" s="863"/>
      <c r="E3956" s="863"/>
      <c r="H3956" s="231">
        <f t="shared" si="122"/>
        <v>0</v>
      </c>
      <c r="I3956" s="231">
        <f t="shared" si="123"/>
        <v>0</v>
      </c>
    </row>
    <row r="3957" spans="1:12" hidden="1">
      <c r="A3957" s="1569"/>
      <c r="B3957" s="857"/>
      <c r="C3957" s="833"/>
      <c r="D3957" s="863"/>
      <c r="E3957" s="880"/>
      <c r="H3957" s="231">
        <f t="shared" si="122"/>
        <v>0</v>
      </c>
      <c r="I3957" s="231">
        <f t="shared" si="123"/>
        <v>0</v>
      </c>
    </row>
    <row r="3958" spans="1:12" hidden="1">
      <c r="A3958" s="1569"/>
      <c r="B3958" s="857"/>
      <c r="C3958" s="833"/>
      <c r="D3958" s="863"/>
      <c r="E3958" s="863"/>
      <c r="H3958" s="231">
        <f t="shared" si="122"/>
        <v>0</v>
      </c>
      <c r="I3958" s="231">
        <f t="shared" si="123"/>
        <v>0</v>
      </c>
    </row>
    <row r="3959" spans="1:12" hidden="1">
      <c r="A3959" s="1569"/>
      <c r="B3959" s="882"/>
      <c r="C3959" s="833"/>
      <c r="D3959" s="863"/>
      <c r="E3959" s="863"/>
      <c r="H3959" s="231">
        <f t="shared" si="122"/>
        <v>0</v>
      </c>
      <c r="I3959" s="231">
        <f t="shared" si="123"/>
        <v>0</v>
      </c>
    </row>
    <row r="3960" spans="1:12" hidden="1">
      <c r="A3960" s="1569"/>
      <c r="B3960" s="371"/>
      <c r="C3960" s="850"/>
      <c r="D3960" s="850"/>
      <c r="E3960" s="844"/>
      <c r="H3960" s="231">
        <f t="shared" si="122"/>
        <v>0</v>
      </c>
      <c r="I3960" s="231">
        <f t="shared" si="123"/>
        <v>0</v>
      </c>
    </row>
    <row r="3961" spans="1:12" hidden="1">
      <c r="A3961" s="1569"/>
      <c r="B3961" s="371"/>
      <c r="C3961" s="850"/>
      <c r="D3961" s="850"/>
      <c r="E3961" s="844"/>
      <c r="H3961" s="231">
        <f t="shared" si="122"/>
        <v>0</v>
      </c>
      <c r="I3961" s="231">
        <f t="shared" si="123"/>
        <v>0</v>
      </c>
    </row>
    <row r="3962" spans="1:12" hidden="1">
      <c r="A3962" s="1569"/>
      <c r="B3962" s="107"/>
      <c r="C3962" s="654"/>
      <c r="D3962" s="654"/>
      <c r="E3962" s="256"/>
      <c r="H3962" s="231">
        <f t="shared" si="122"/>
        <v>0</v>
      </c>
      <c r="I3962" s="231">
        <f t="shared" si="123"/>
        <v>0</v>
      </c>
    </row>
    <row r="3963" spans="1:12" hidden="1">
      <c r="A3963" s="1569"/>
      <c r="B3963" s="107"/>
      <c r="C3963" s="654"/>
      <c r="D3963" s="654"/>
      <c r="E3963" s="256"/>
      <c r="H3963" s="231">
        <f t="shared" si="122"/>
        <v>0</v>
      </c>
      <c r="I3963" s="231">
        <f t="shared" si="123"/>
        <v>0</v>
      </c>
    </row>
    <row r="3964" spans="1:12" hidden="1">
      <c r="A3964" s="1569"/>
      <c r="B3964" s="107"/>
      <c r="C3964" s="654"/>
      <c r="D3964" s="654"/>
      <c r="E3964" s="256"/>
      <c r="H3964" s="231">
        <f t="shared" si="122"/>
        <v>0</v>
      </c>
      <c r="I3964" s="231">
        <f t="shared" si="123"/>
        <v>0</v>
      </c>
    </row>
    <row r="3965" spans="1:12" hidden="1">
      <c r="A3965" s="1569"/>
      <c r="B3965" s="107"/>
      <c r="C3965" s="654"/>
      <c r="D3965" s="654"/>
      <c r="E3965" s="256"/>
      <c r="H3965" s="231">
        <f t="shared" si="122"/>
        <v>0</v>
      </c>
      <c r="I3965" s="231">
        <f t="shared" si="123"/>
        <v>0</v>
      </c>
    </row>
    <row r="3966" spans="1:12">
      <c r="A3966" s="1659"/>
      <c r="B3966" s="209" t="s">
        <v>985</v>
      </c>
      <c r="C3966" s="1242">
        <f>SUM(C3932:C3965)</f>
        <v>526000</v>
      </c>
      <c r="D3966" s="1242">
        <f>SUM(D3932:D3965)</f>
        <v>131000</v>
      </c>
      <c r="E3966" s="1242">
        <f>SUM(E3932:E3965)</f>
        <v>395000</v>
      </c>
      <c r="H3966" s="1497">
        <f t="shared" si="122"/>
        <v>0</v>
      </c>
      <c r="I3966" s="1497">
        <f t="shared" si="123"/>
        <v>1052000</v>
      </c>
      <c r="J3966" s="1440"/>
      <c r="K3966" s="1490"/>
      <c r="L3966" s="1490"/>
    </row>
    <row r="3967" spans="1:12" ht="112.5">
      <c r="A3967" s="1568" t="s">
        <v>1129</v>
      </c>
      <c r="B3967" s="107" t="s">
        <v>773</v>
      </c>
      <c r="C3967" s="590">
        <v>150000</v>
      </c>
      <c r="D3967" s="590"/>
      <c r="E3967" s="590">
        <v>150000</v>
      </c>
      <c r="H3967" s="1497">
        <f t="shared" si="122"/>
        <v>0</v>
      </c>
      <c r="I3967" s="1497">
        <f t="shared" si="123"/>
        <v>300000</v>
      </c>
      <c r="J3967" s="1440"/>
      <c r="K3967" s="1490"/>
      <c r="L3967" s="1490"/>
    </row>
    <row r="3968" spans="1:12" ht="56.25">
      <c r="A3968" s="1569"/>
      <c r="B3968" s="1215" t="s">
        <v>1443</v>
      </c>
      <c r="C3968" s="1214">
        <v>200000</v>
      </c>
      <c r="D3968" s="256">
        <v>80000</v>
      </c>
      <c r="E3968" s="256">
        <v>120000</v>
      </c>
      <c r="H3968" s="1497">
        <f t="shared" si="122"/>
        <v>0</v>
      </c>
      <c r="I3968" s="1497">
        <f t="shared" si="123"/>
        <v>400000</v>
      </c>
      <c r="J3968" s="1440"/>
      <c r="K3968" s="1490"/>
      <c r="L3968" s="1490"/>
    </row>
    <row r="3969" spans="1:12" ht="56.25">
      <c r="A3969" s="1569"/>
      <c r="B3969" s="1215" t="s">
        <v>1444</v>
      </c>
      <c r="C3969" s="1214">
        <v>65000</v>
      </c>
      <c r="D3969" s="256"/>
      <c r="E3969" s="256">
        <v>65000</v>
      </c>
      <c r="H3969" s="1497">
        <f t="shared" si="122"/>
        <v>0</v>
      </c>
      <c r="I3969" s="1497">
        <f t="shared" si="123"/>
        <v>130000</v>
      </c>
      <c r="J3969" s="1440"/>
      <c r="K3969" s="1490"/>
      <c r="L3969" s="1490"/>
    </row>
    <row r="3970" spans="1:12" ht="56.25">
      <c r="A3970" s="1569"/>
      <c r="B3970" s="1215" t="s">
        <v>1445</v>
      </c>
      <c r="C3970" s="1214">
        <v>10000</v>
      </c>
      <c r="D3970" s="256">
        <v>10000</v>
      </c>
      <c r="E3970" s="256"/>
      <c r="H3970" s="1497">
        <f t="shared" si="122"/>
        <v>0</v>
      </c>
      <c r="I3970" s="1497">
        <f t="shared" si="123"/>
        <v>20000</v>
      </c>
      <c r="J3970" s="1440"/>
      <c r="K3970" s="1490"/>
      <c r="L3970" s="1490"/>
    </row>
    <row r="3971" spans="1:12" ht="56.25">
      <c r="A3971" s="1569"/>
      <c r="B3971" s="1215" t="s">
        <v>1446</v>
      </c>
      <c r="C3971" s="1214">
        <v>34000</v>
      </c>
      <c r="D3971" s="256">
        <v>34000</v>
      </c>
      <c r="E3971" s="256"/>
      <c r="H3971" s="1497">
        <f t="shared" si="122"/>
        <v>0</v>
      </c>
      <c r="I3971" s="1497">
        <f t="shared" si="123"/>
        <v>68000</v>
      </c>
      <c r="J3971" s="1440"/>
      <c r="K3971" s="1490"/>
      <c r="L3971" s="1490"/>
    </row>
    <row r="3972" spans="1:12" ht="112.5">
      <c r="A3972" s="1569"/>
      <c r="B3972" s="1215" t="s">
        <v>1447</v>
      </c>
      <c r="C3972" s="1214">
        <v>30000</v>
      </c>
      <c r="D3972" s="256">
        <v>9500</v>
      </c>
      <c r="E3972" s="256">
        <v>20500</v>
      </c>
      <c r="H3972" s="1497">
        <f t="shared" si="122"/>
        <v>0</v>
      </c>
      <c r="I3972" s="1497">
        <f t="shared" si="123"/>
        <v>60000</v>
      </c>
      <c r="J3972" s="1440"/>
      <c r="K3972" s="1490"/>
      <c r="L3972" s="1490"/>
    </row>
    <row r="3973" spans="1:12" ht="56.25">
      <c r="A3973" s="1569"/>
      <c r="B3973" s="1215" t="s">
        <v>1448</v>
      </c>
      <c r="C3973" s="1214">
        <v>6000</v>
      </c>
      <c r="D3973" s="256">
        <v>6000</v>
      </c>
      <c r="E3973" s="256"/>
      <c r="H3973" s="1497">
        <f t="shared" si="122"/>
        <v>0</v>
      </c>
      <c r="I3973" s="1497">
        <f t="shared" si="123"/>
        <v>12000</v>
      </c>
      <c r="J3973" s="1440"/>
      <c r="K3973" s="1490"/>
      <c r="L3973" s="1490"/>
    </row>
    <row r="3974" spans="1:12" ht="75">
      <c r="A3974" s="1569"/>
      <c r="B3974" s="1215" t="s">
        <v>1449</v>
      </c>
      <c r="C3974" s="1214">
        <v>200000</v>
      </c>
      <c r="D3974" s="1214"/>
      <c r="E3974" s="1214">
        <v>200000</v>
      </c>
      <c r="H3974" s="1497">
        <f t="shared" si="122"/>
        <v>0</v>
      </c>
      <c r="I3974" s="1497">
        <f t="shared" si="123"/>
        <v>400000</v>
      </c>
      <c r="J3974" s="1440"/>
      <c r="K3974" s="1490"/>
      <c r="L3974" s="1490"/>
    </row>
    <row r="3975" spans="1:12" ht="93.75">
      <c r="A3975" s="1569"/>
      <c r="B3975" s="107" t="s">
        <v>1870</v>
      </c>
      <c r="C3975" s="184">
        <v>30000</v>
      </c>
      <c r="D3975" s="184">
        <v>30000</v>
      </c>
      <c r="E3975" s="184"/>
      <c r="H3975" s="1497">
        <f t="shared" si="122"/>
        <v>0</v>
      </c>
      <c r="I3975" s="1497">
        <f t="shared" si="123"/>
        <v>60000</v>
      </c>
      <c r="J3975" s="1440"/>
      <c r="K3975" s="1490"/>
      <c r="L3975" s="1490"/>
    </row>
    <row r="3976" spans="1:12" ht="56.25">
      <c r="A3976" s="1569"/>
      <c r="B3976" s="107" t="s">
        <v>1871</v>
      </c>
      <c r="C3976" s="184">
        <v>6000</v>
      </c>
      <c r="D3976" s="184">
        <v>6000</v>
      </c>
      <c r="E3976" s="184"/>
      <c r="H3976" s="1497">
        <f t="shared" si="122"/>
        <v>0</v>
      </c>
      <c r="I3976" s="1497">
        <f t="shared" si="123"/>
        <v>12000</v>
      </c>
      <c r="J3976" s="1440"/>
      <c r="K3976" s="1490"/>
      <c r="L3976" s="1490"/>
    </row>
    <row r="3977" spans="1:12" ht="56.25">
      <c r="A3977" s="1569"/>
      <c r="B3977" s="107" t="s">
        <v>1872</v>
      </c>
      <c r="C3977" s="184">
        <v>15000</v>
      </c>
      <c r="D3977" s="184">
        <v>15000</v>
      </c>
      <c r="E3977" s="184"/>
      <c r="H3977" s="1497">
        <f t="shared" ref="H3977:H4040" si="124">E3977+D3977-C3977</f>
        <v>0</v>
      </c>
      <c r="I3977" s="1497">
        <f t="shared" ref="I3977:I4040" si="125">SUM(C3977:E3977)</f>
        <v>30000</v>
      </c>
      <c r="J3977" s="1440"/>
      <c r="K3977" s="1490"/>
      <c r="L3977" s="1490"/>
    </row>
    <row r="3978" spans="1:12" ht="93.75">
      <c r="A3978" s="1569"/>
      <c r="B3978" s="107" t="s">
        <v>1873</v>
      </c>
      <c r="C3978" s="184">
        <v>18000</v>
      </c>
      <c r="D3978" s="184">
        <v>18000</v>
      </c>
      <c r="E3978" s="184"/>
      <c r="H3978" s="1497">
        <f t="shared" si="124"/>
        <v>0</v>
      </c>
      <c r="I3978" s="1497">
        <f t="shared" si="125"/>
        <v>36000</v>
      </c>
      <c r="J3978" s="1440"/>
      <c r="K3978" s="1490"/>
      <c r="L3978" s="1490"/>
    </row>
    <row r="3979" spans="1:12" ht="56.25">
      <c r="A3979" s="1569"/>
      <c r="B3979" s="107" t="s">
        <v>1874</v>
      </c>
      <c r="C3979" s="184">
        <v>17112</v>
      </c>
      <c r="D3979" s="184"/>
      <c r="E3979" s="184">
        <v>17112</v>
      </c>
      <c r="H3979" s="1497">
        <f t="shared" si="124"/>
        <v>0</v>
      </c>
      <c r="I3979" s="1497">
        <f t="shared" si="125"/>
        <v>34224</v>
      </c>
      <c r="J3979" s="1440"/>
      <c r="K3979" s="1490"/>
      <c r="L3979" s="1490"/>
    </row>
    <row r="3980" spans="1:12" ht="75">
      <c r="A3980" s="1569"/>
      <c r="B3980" s="107" t="s">
        <v>1875</v>
      </c>
      <c r="C3980" s="817">
        <v>4257</v>
      </c>
      <c r="D3980" s="817">
        <v>4257</v>
      </c>
      <c r="E3980" s="184"/>
      <c r="H3980" s="1497">
        <f t="shared" si="124"/>
        <v>0</v>
      </c>
      <c r="I3980" s="1497">
        <f t="shared" si="125"/>
        <v>8514</v>
      </c>
      <c r="J3980" s="1440"/>
      <c r="K3980" s="1490"/>
      <c r="L3980" s="1490"/>
    </row>
    <row r="3981" spans="1:12" ht="93.75">
      <c r="A3981" s="1569"/>
      <c r="B3981" s="107" t="s">
        <v>1876</v>
      </c>
      <c r="C3981" s="817">
        <v>10000</v>
      </c>
      <c r="D3981" s="817">
        <v>10000</v>
      </c>
      <c r="E3981" s="184"/>
      <c r="H3981" s="1497">
        <f t="shared" si="124"/>
        <v>0</v>
      </c>
      <c r="I3981" s="1497">
        <f t="shared" si="125"/>
        <v>20000</v>
      </c>
      <c r="J3981" s="1440"/>
      <c r="K3981" s="1490"/>
      <c r="L3981" s="1490"/>
    </row>
    <row r="3982" spans="1:12" ht="93.75">
      <c r="A3982" s="1569"/>
      <c r="B3982" s="1237" t="s">
        <v>1877</v>
      </c>
      <c r="C3982" s="1226">
        <v>12000</v>
      </c>
      <c r="D3982" s="1226">
        <v>11000</v>
      </c>
      <c r="E3982" s="1227">
        <v>1000</v>
      </c>
      <c r="H3982" s="1497">
        <f t="shared" si="124"/>
        <v>0</v>
      </c>
      <c r="I3982" s="1497">
        <f t="shared" si="125"/>
        <v>24000</v>
      </c>
      <c r="J3982" s="1440"/>
      <c r="K3982" s="1490"/>
      <c r="L3982" s="1490"/>
    </row>
    <row r="3983" spans="1:12" ht="131.25">
      <c r="A3983" s="1569"/>
      <c r="B3983" s="1237" t="s">
        <v>1878</v>
      </c>
      <c r="C3983" s="1227">
        <v>22700</v>
      </c>
      <c r="D3983" s="1227">
        <v>22700</v>
      </c>
      <c r="E3983" s="1238"/>
      <c r="H3983" s="1497">
        <f t="shared" si="124"/>
        <v>0</v>
      </c>
      <c r="I3983" s="1497">
        <f t="shared" si="125"/>
        <v>45400</v>
      </c>
      <c r="J3983" s="1440"/>
      <c r="K3983" s="1490"/>
      <c r="L3983" s="1490"/>
    </row>
    <row r="3984" spans="1:12" ht="75">
      <c r="A3984" s="1569"/>
      <c r="B3984" s="1237" t="s">
        <v>1879</v>
      </c>
      <c r="C3984" s="1227">
        <v>148155</v>
      </c>
      <c r="D3984" s="1238"/>
      <c r="E3984" s="1227">
        <v>148155</v>
      </c>
      <c r="H3984" s="1497">
        <f t="shared" si="124"/>
        <v>0</v>
      </c>
      <c r="I3984" s="1497">
        <f t="shared" si="125"/>
        <v>296310</v>
      </c>
      <c r="J3984" s="1440"/>
      <c r="K3984" s="1490"/>
      <c r="L3984" s="1490"/>
    </row>
    <row r="3985" spans="1:9" hidden="1">
      <c r="A3985" s="1569"/>
      <c r="B3985" s="770"/>
      <c r="C3985" s="771"/>
      <c r="D3985" s="771"/>
      <c r="E3985" s="772"/>
      <c r="H3985" s="231">
        <f t="shared" si="124"/>
        <v>0</v>
      </c>
      <c r="I3985" s="231">
        <f t="shared" si="125"/>
        <v>0</v>
      </c>
    </row>
    <row r="3986" spans="1:9" hidden="1">
      <c r="A3986" s="1569"/>
      <c r="B3986" s="770"/>
      <c r="C3986" s="771"/>
      <c r="D3986" s="771"/>
      <c r="E3986" s="772"/>
      <c r="H3986" s="231">
        <f t="shared" si="124"/>
        <v>0</v>
      </c>
      <c r="I3986" s="231">
        <f t="shared" si="125"/>
        <v>0</v>
      </c>
    </row>
    <row r="3987" spans="1:9" hidden="1">
      <c r="A3987" s="1569"/>
      <c r="B3987" s="371"/>
      <c r="C3987" s="829"/>
      <c r="D3987" s="829"/>
      <c r="E3987" s="829"/>
      <c r="H3987" s="231">
        <f t="shared" si="124"/>
        <v>0</v>
      </c>
      <c r="I3987" s="231">
        <f t="shared" si="125"/>
        <v>0</v>
      </c>
    </row>
    <row r="3988" spans="1:9" hidden="1">
      <c r="A3988" s="1569"/>
      <c r="B3988" s="371"/>
      <c r="C3988" s="829"/>
      <c r="D3988" s="829"/>
      <c r="E3988" s="829"/>
      <c r="H3988" s="231">
        <f t="shared" si="124"/>
        <v>0</v>
      </c>
      <c r="I3988" s="231">
        <f t="shared" si="125"/>
        <v>0</v>
      </c>
    </row>
    <row r="3989" spans="1:9" hidden="1">
      <c r="A3989" s="1569"/>
      <c r="B3989" s="371"/>
      <c r="C3989" s="851"/>
      <c r="D3989" s="851"/>
      <c r="E3989" s="852"/>
      <c r="H3989" s="231">
        <f t="shared" si="124"/>
        <v>0</v>
      </c>
      <c r="I3989" s="231">
        <f t="shared" si="125"/>
        <v>0</v>
      </c>
    </row>
    <row r="3990" spans="1:9" hidden="1">
      <c r="A3990" s="1569"/>
      <c r="B3990" s="371"/>
      <c r="C3990" s="844"/>
      <c r="D3990" s="844"/>
      <c r="E3990" s="844"/>
      <c r="H3990" s="231">
        <f t="shared" si="124"/>
        <v>0</v>
      </c>
      <c r="I3990" s="231">
        <f t="shared" si="125"/>
        <v>0</v>
      </c>
    </row>
    <row r="3991" spans="1:9" hidden="1">
      <c r="A3991" s="1569"/>
      <c r="B3991" s="371"/>
      <c r="C3991" s="844"/>
      <c r="D3991" s="850"/>
      <c r="E3991" s="844"/>
      <c r="H3991" s="231">
        <f t="shared" si="124"/>
        <v>0</v>
      </c>
      <c r="I3991" s="231">
        <f t="shared" si="125"/>
        <v>0</v>
      </c>
    </row>
    <row r="3992" spans="1:9" hidden="1">
      <c r="A3992" s="1569"/>
      <c r="B3992" s="857"/>
      <c r="C3992" s="883"/>
      <c r="D3992" s="849"/>
      <c r="E3992" s="884"/>
      <c r="H3992" s="231">
        <f t="shared" si="124"/>
        <v>0</v>
      </c>
      <c r="I3992" s="231">
        <f t="shared" si="125"/>
        <v>0</v>
      </c>
    </row>
    <row r="3993" spans="1:9" hidden="1">
      <c r="A3993" s="1569"/>
      <c r="B3993" s="857"/>
      <c r="C3993" s="883"/>
      <c r="D3993" s="849"/>
      <c r="E3993" s="884"/>
      <c r="H3993" s="231">
        <f t="shared" si="124"/>
        <v>0</v>
      </c>
      <c r="I3993" s="231">
        <f t="shared" si="125"/>
        <v>0</v>
      </c>
    </row>
    <row r="3994" spans="1:9" hidden="1">
      <c r="A3994" s="1569"/>
      <c r="B3994" s="885"/>
      <c r="C3994" s="883"/>
      <c r="D3994" s="849"/>
      <c r="E3994" s="884"/>
      <c r="H3994" s="231">
        <f t="shared" si="124"/>
        <v>0</v>
      </c>
      <c r="I3994" s="231">
        <f t="shared" si="125"/>
        <v>0</v>
      </c>
    </row>
    <row r="3995" spans="1:9" hidden="1">
      <c r="A3995" s="1569"/>
      <c r="B3995" s="885"/>
      <c r="C3995" s="883"/>
      <c r="D3995" s="849"/>
      <c r="E3995" s="884"/>
      <c r="H3995" s="231">
        <f t="shared" si="124"/>
        <v>0</v>
      </c>
      <c r="I3995" s="231">
        <f t="shared" si="125"/>
        <v>0</v>
      </c>
    </row>
    <row r="3996" spans="1:9" hidden="1">
      <c r="A3996" s="1569"/>
      <c r="B3996" s="107"/>
      <c r="C3996" s="654"/>
      <c r="D3996" s="654"/>
      <c r="E3996" s="256"/>
      <c r="H3996" s="231">
        <f t="shared" si="124"/>
        <v>0</v>
      </c>
      <c r="I3996" s="231">
        <f t="shared" si="125"/>
        <v>0</v>
      </c>
    </row>
    <row r="3997" spans="1:9" hidden="1">
      <c r="A3997" s="1569"/>
      <c r="B3997" s="107"/>
      <c r="C3997" s="654"/>
      <c r="D3997" s="654"/>
      <c r="E3997" s="256"/>
      <c r="H3997" s="231">
        <f t="shared" si="124"/>
        <v>0</v>
      </c>
      <c r="I3997" s="231">
        <f t="shared" si="125"/>
        <v>0</v>
      </c>
    </row>
    <row r="3998" spans="1:9" hidden="1">
      <c r="A3998" s="1569"/>
      <c r="B3998" s="107"/>
      <c r="C3998" s="654"/>
      <c r="D3998" s="654"/>
      <c r="E3998" s="256"/>
      <c r="H3998" s="231">
        <f t="shared" si="124"/>
        <v>0</v>
      </c>
      <c r="I3998" s="231">
        <f t="shared" si="125"/>
        <v>0</v>
      </c>
    </row>
    <row r="3999" spans="1:9" hidden="1">
      <c r="A3999" s="1569"/>
      <c r="B3999" s="107"/>
      <c r="C3999" s="654"/>
      <c r="D3999" s="654"/>
      <c r="E3999" s="256"/>
      <c r="H3999" s="231">
        <f t="shared" si="124"/>
        <v>0</v>
      </c>
      <c r="I3999" s="231">
        <f t="shared" si="125"/>
        <v>0</v>
      </c>
    </row>
    <row r="4000" spans="1:9" hidden="1">
      <c r="A4000" s="1569"/>
      <c r="B4000" s="107"/>
      <c r="C4000" s="654"/>
      <c r="D4000" s="654"/>
      <c r="E4000" s="256"/>
      <c r="H4000" s="231">
        <f t="shared" si="124"/>
        <v>0</v>
      </c>
      <c r="I4000" s="231">
        <f t="shared" si="125"/>
        <v>0</v>
      </c>
    </row>
    <row r="4001" spans="1:12" hidden="1">
      <c r="A4001" s="1569"/>
      <c r="B4001" s="107"/>
      <c r="C4001" s="654"/>
      <c r="D4001" s="654"/>
      <c r="E4001" s="256"/>
      <c r="H4001" s="231">
        <f t="shared" si="124"/>
        <v>0</v>
      </c>
      <c r="I4001" s="231">
        <f t="shared" si="125"/>
        <v>0</v>
      </c>
    </row>
    <row r="4002" spans="1:12">
      <c r="A4002" s="1659"/>
      <c r="B4002" s="209" t="s">
        <v>985</v>
      </c>
      <c r="C4002" s="581">
        <f>SUM(C3967:C4001)</f>
        <v>978224</v>
      </c>
      <c r="D4002" s="581">
        <f>SUM(D3967:D4001)</f>
        <v>256457</v>
      </c>
      <c r="E4002" s="581">
        <f>SUM(E3967:E4001)</f>
        <v>721767</v>
      </c>
      <c r="H4002" s="1497">
        <f t="shared" si="124"/>
        <v>0</v>
      </c>
      <c r="I4002" s="1497">
        <f t="shared" si="125"/>
        <v>1956448</v>
      </c>
      <c r="J4002" s="1440"/>
      <c r="K4002" s="1490"/>
      <c r="L4002" s="1490"/>
    </row>
    <row r="4003" spans="1:12" ht="93.75">
      <c r="A4003" s="1568" t="s">
        <v>1130</v>
      </c>
      <c r="B4003" s="107" t="s">
        <v>1880</v>
      </c>
      <c r="C4003" s="817">
        <v>40000</v>
      </c>
      <c r="D4003" s="817"/>
      <c r="E4003" s="184">
        <v>40000</v>
      </c>
      <c r="H4003" s="1497">
        <f t="shared" si="124"/>
        <v>0</v>
      </c>
      <c r="I4003" s="1497">
        <f t="shared" si="125"/>
        <v>80000</v>
      </c>
      <c r="J4003" s="1440"/>
      <c r="K4003" s="1490"/>
      <c r="L4003" s="1490"/>
    </row>
    <row r="4004" spans="1:12" ht="37.5">
      <c r="A4004" s="1569"/>
      <c r="B4004" s="107" t="s">
        <v>1881</v>
      </c>
      <c r="C4004" s="817">
        <v>8112</v>
      </c>
      <c r="D4004" s="817"/>
      <c r="E4004" s="184">
        <v>8112</v>
      </c>
      <c r="H4004" s="1497">
        <f t="shared" si="124"/>
        <v>0</v>
      </c>
      <c r="I4004" s="1497">
        <f t="shared" si="125"/>
        <v>16224</v>
      </c>
      <c r="J4004" s="1440"/>
      <c r="K4004" s="1490"/>
      <c r="L4004" s="1490"/>
    </row>
    <row r="4005" spans="1:12" ht="56.25">
      <c r="A4005" s="1569"/>
      <c r="B4005" s="107" t="s">
        <v>1882</v>
      </c>
      <c r="C4005" s="817">
        <v>20000</v>
      </c>
      <c r="D4005" s="817">
        <v>20000</v>
      </c>
      <c r="E4005" s="184"/>
      <c r="H4005" s="1497">
        <f t="shared" si="124"/>
        <v>0</v>
      </c>
      <c r="I4005" s="1497">
        <f t="shared" si="125"/>
        <v>40000</v>
      </c>
      <c r="J4005" s="1440"/>
      <c r="K4005" s="1490"/>
      <c r="L4005" s="1490"/>
    </row>
    <row r="4006" spans="1:12" ht="56.25">
      <c r="A4006" s="1569"/>
      <c r="B4006" s="107" t="s">
        <v>1883</v>
      </c>
      <c r="C4006" s="817">
        <v>38000</v>
      </c>
      <c r="D4006" s="817"/>
      <c r="E4006" s="184">
        <v>38000</v>
      </c>
      <c r="H4006" s="1497">
        <f t="shared" si="124"/>
        <v>0</v>
      </c>
      <c r="I4006" s="1497">
        <f t="shared" si="125"/>
        <v>76000</v>
      </c>
      <c r="J4006" s="1440"/>
      <c r="K4006" s="1490"/>
      <c r="L4006" s="1490"/>
    </row>
    <row r="4007" spans="1:12" ht="56.25">
      <c r="A4007" s="1569"/>
      <c r="B4007" s="107" t="s">
        <v>1884</v>
      </c>
      <c r="C4007" s="817">
        <v>20000</v>
      </c>
      <c r="D4007" s="817">
        <v>20000</v>
      </c>
      <c r="E4007" s="184"/>
      <c r="H4007" s="1497">
        <f t="shared" si="124"/>
        <v>0</v>
      </c>
      <c r="I4007" s="1497">
        <f t="shared" si="125"/>
        <v>40000</v>
      </c>
      <c r="J4007" s="1440"/>
      <c r="K4007" s="1490"/>
      <c r="L4007" s="1490"/>
    </row>
    <row r="4008" spans="1:12" ht="37.5">
      <c r="A4008" s="1569"/>
      <c r="B4008" s="107" t="s">
        <v>1885</v>
      </c>
      <c r="C4008" s="817">
        <v>14000</v>
      </c>
      <c r="D4008" s="817">
        <v>14000</v>
      </c>
      <c r="E4008" s="184"/>
      <c r="H4008" s="1497">
        <f t="shared" si="124"/>
        <v>0</v>
      </c>
      <c r="I4008" s="1497">
        <f t="shared" si="125"/>
        <v>28000</v>
      </c>
      <c r="J4008" s="1440"/>
      <c r="K4008" s="1490"/>
      <c r="L4008" s="1490"/>
    </row>
    <row r="4009" spans="1:12" ht="75">
      <c r="A4009" s="1569"/>
      <c r="B4009" s="107" t="s">
        <v>1886</v>
      </c>
      <c r="C4009" s="817">
        <v>20000</v>
      </c>
      <c r="D4009" s="817">
        <v>20000</v>
      </c>
      <c r="E4009" s="184"/>
      <c r="H4009" s="1497">
        <f t="shared" si="124"/>
        <v>0</v>
      </c>
      <c r="I4009" s="1497">
        <f t="shared" si="125"/>
        <v>40000</v>
      </c>
      <c r="J4009" s="1440"/>
      <c r="K4009" s="1490"/>
      <c r="L4009" s="1490"/>
    </row>
    <row r="4010" spans="1:12" hidden="1">
      <c r="A4010" s="1569"/>
      <c r="B4010" s="107"/>
      <c r="C4010" s="649"/>
      <c r="D4010" s="649"/>
      <c r="E4010" s="256"/>
      <c r="H4010" s="231">
        <f t="shared" si="124"/>
        <v>0</v>
      </c>
      <c r="I4010" s="231">
        <f t="shared" si="125"/>
        <v>0</v>
      </c>
    </row>
    <row r="4011" spans="1:12" hidden="1">
      <c r="A4011" s="1569"/>
      <c r="B4011" s="786"/>
      <c r="C4011" s="774"/>
      <c r="D4011" s="774"/>
      <c r="E4011" s="774"/>
      <c r="F4011" s="232"/>
      <c r="G4011" s="232"/>
      <c r="H4011" s="231">
        <f t="shared" si="124"/>
        <v>0</v>
      </c>
      <c r="I4011" s="231">
        <f t="shared" si="125"/>
        <v>0</v>
      </c>
    </row>
    <row r="4012" spans="1:12" hidden="1">
      <c r="A4012" s="1569"/>
      <c r="B4012" s="787"/>
      <c r="C4012" s="772"/>
      <c r="D4012" s="771"/>
      <c r="E4012" s="772"/>
      <c r="F4012" s="232"/>
      <c r="G4012" s="232"/>
      <c r="H4012" s="231">
        <f t="shared" si="124"/>
        <v>0</v>
      </c>
      <c r="I4012" s="231">
        <f t="shared" si="125"/>
        <v>0</v>
      </c>
    </row>
    <row r="4013" spans="1:12" hidden="1">
      <c r="A4013" s="1569"/>
      <c r="B4013" s="371"/>
      <c r="C4013" s="850"/>
      <c r="D4013" s="850"/>
      <c r="E4013" s="844"/>
      <c r="H4013" s="231">
        <f t="shared" si="124"/>
        <v>0</v>
      </c>
      <c r="I4013" s="231">
        <f t="shared" si="125"/>
        <v>0</v>
      </c>
    </row>
    <row r="4014" spans="1:12" hidden="1">
      <c r="A4014" s="1569"/>
      <c r="B4014" s="371"/>
      <c r="C4014" s="850"/>
      <c r="D4014" s="850"/>
      <c r="E4014" s="844"/>
      <c r="H4014" s="231">
        <f t="shared" si="124"/>
        <v>0</v>
      </c>
      <c r="I4014" s="231">
        <f t="shared" si="125"/>
        <v>0</v>
      </c>
    </row>
    <row r="4015" spans="1:12" hidden="1">
      <c r="A4015" s="1569"/>
      <c r="B4015" s="116"/>
      <c r="C4015" s="679"/>
      <c r="D4015" s="679"/>
      <c r="E4015" s="256"/>
      <c r="H4015" s="231">
        <f t="shared" si="124"/>
        <v>0</v>
      </c>
      <c r="I4015" s="231">
        <f t="shared" si="125"/>
        <v>0</v>
      </c>
    </row>
    <row r="4016" spans="1:12" hidden="1">
      <c r="A4016" s="1569"/>
      <c r="B4016" s="107"/>
      <c r="C4016" s="654"/>
      <c r="D4016" s="654"/>
      <c r="E4016" s="256"/>
      <c r="H4016" s="231">
        <f t="shared" si="124"/>
        <v>0</v>
      </c>
      <c r="I4016" s="231">
        <f t="shared" si="125"/>
        <v>0</v>
      </c>
    </row>
    <row r="4017" spans="1:9" hidden="1">
      <c r="A4017" s="1569"/>
      <c r="B4017" s="107"/>
      <c r="C4017" s="654"/>
      <c r="D4017" s="654"/>
      <c r="E4017" s="256"/>
      <c r="H4017" s="231">
        <f t="shared" si="124"/>
        <v>0</v>
      </c>
      <c r="I4017" s="231">
        <f t="shared" si="125"/>
        <v>0</v>
      </c>
    </row>
    <row r="4018" spans="1:9" hidden="1">
      <c r="A4018" s="1569"/>
      <c r="B4018" s="107"/>
      <c r="C4018" s="654"/>
      <c r="D4018" s="654"/>
      <c r="E4018" s="256"/>
      <c r="H4018" s="231">
        <f t="shared" si="124"/>
        <v>0</v>
      </c>
      <c r="I4018" s="231">
        <f t="shared" si="125"/>
        <v>0</v>
      </c>
    </row>
    <row r="4019" spans="1:9" hidden="1">
      <c r="A4019" s="1569"/>
      <c r="B4019" s="107"/>
      <c r="C4019" s="654"/>
      <c r="D4019" s="654"/>
      <c r="E4019" s="256"/>
      <c r="H4019" s="231">
        <f t="shared" si="124"/>
        <v>0</v>
      </c>
      <c r="I4019" s="231">
        <f t="shared" si="125"/>
        <v>0</v>
      </c>
    </row>
    <row r="4020" spans="1:9" hidden="1">
      <c r="A4020" s="1569"/>
      <c r="B4020" s="107"/>
      <c r="C4020" s="654"/>
      <c r="D4020" s="654"/>
      <c r="E4020" s="256"/>
      <c r="H4020" s="231">
        <f t="shared" si="124"/>
        <v>0</v>
      </c>
      <c r="I4020" s="231">
        <f t="shared" si="125"/>
        <v>0</v>
      </c>
    </row>
    <row r="4021" spans="1:9" hidden="1">
      <c r="A4021" s="1569"/>
      <c r="B4021" s="107"/>
      <c r="C4021" s="654"/>
      <c r="D4021" s="654"/>
      <c r="E4021" s="256"/>
      <c r="H4021" s="231">
        <f t="shared" si="124"/>
        <v>0</v>
      </c>
      <c r="I4021" s="231">
        <f t="shared" si="125"/>
        <v>0</v>
      </c>
    </row>
    <row r="4022" spans="1:9" hidden="1">
      <c r="A4022" s="1569"/>
      <c r="B4022" s="107"/>
      <c r="C4022" s="654"/>
      <c r="D4022" s="654"/>
      <c r="E4022" s="256"/>
      <c r="H4022" s="231">
        <f t="shared" si="124"/>
        <v>0</v>
      </c>
      <c r="I4022" s="231">
        <f t="shared" si="125"/>
        <v>0</v>
      </c>
    </row>
    <row r="4023" spans="1:9" hidden="1">
      <c r="A4023" s="1569"/>
      <c r="B4023" s="107"/>
      <c r="C4023" s="654"/>
      <c r="D4023" s="654"/>
      <c r="E4023" s="256"/>
      <c r="H4023" s="231">
        <f t="shared" si="124"/>
        <v>0</v>
      </c>
      <c r="I4023" s="231">
        <f t="shared" si="125"/>
        <v>0</v>
      </c>
    </row>
    <row r="4024" spans="1:9" hidden="1">
      <c r="A4024" s="1569"/>
      <c r="B4024" s="107"/>
      <c r="C4024" s="654"/>
      <c r="D4024" s="654"/>
      <c r="E4024" s="256"/>
      <c r="H4024" s="231">
        <f t="shared" si="124"/>
        <v>0</v>
      </c>
      <c r="I4024" s="231">
        <f t="shared" si="125"/>
        <v>0</v>
      </c>
    </row>
    <row r="4025" spans="1:9" hidden="1">
      <c r="A4025" s="1569"/>
      <c r="B4025" s="107"/>
      <c r="C4025" s="654"/>
      <c r="D4025" s="654"/>
      <c r="E4025" s="256"/>
      <c r="H4025" s="231">
        <f t="shared" si="124"/>
        <v>0</v>
      </c>
      <c r="I4025" s="231">
        <f t="shared" si="125"/>
        <v>0</v>
      </c>
    </row>
    <row r="4026" spans="1:9" hidden="1">
      <c r="A4026" s="1569"/>
      <c r="B4026" s="107"/>
      <c r="C4026" s="654"/>
      <c r="D4026" s="654"/>
      <c r="E4026" s="256"/>
      <c r="H4026" s="231">
        <f t="shared" si="124"/>
        <v>0</v>
      </c>
      <c r="I4026" s="231">
        <f t="shared" si="125"/>
        <v>0</v>
      </c>
    </row>
    <row r="4027" spans="1:9" hidden="1">
      <c r="A4027" s="1569"/>
      <c r="B4027" s="107"/>
      <c r="C4027" s="654"/>
      <c r="D4027" s="654"/>
      <c r="E4027" s="256"/>
      <c r="H4027" s="231">
        <f t="shared" si="124"/>
        <v>0</v>
      </c>
      <c r="I4027" s="231">
        <f t="shared" si="125"/>
        <v>0</v>
      </c>
    </row>
    <row r="4028" spans="1:9" hidden="1">
      <c r="A4028" s="1569"/>
      <c r="B4028" s="107"/>
      <c r="C4028" s="654"/>
      <c r="D4028" s="654"/>
      <c r="E4028" s="256"/>
      <c r="H4028" s="231">
        <f t="shared" si="124"/>
        <v>0</v>
      </c>
      <c r="I4028" s="231">
        <f t="shared" si="125"/>
        <v>0</v>
      </c>
    </row>
    <row r="4029" spans="1:9" hidden="1">
      <c r="A4029" s="1569"/>
      <c r="B4029" s="107"/>
      <c r="C4029" s="654"/>
      <c r="D4029" s="654"/>
      <c r="E4029" s="256"/>
      <c r="H4029" s="231">
        <f t="shared" si="124"/>
        <v>0</v>
      </c>
      <c r="I4029" s="231">
        <f t="shared" si="125"/>
        <v>0</v>
      </c>
    </row>
    <row r="4030" spans="1:9" hidden="1">
      <c r="A4030" s="1569"/>
      <c r="B4030" s="107"/>
      <c r="C4030" s="654"/>
      <c r="D4030" s="654"/>
      <c r="E4030" s="256"/>
      <c r="H4030" s="231">
        <f t="shared" si="124"/>
        <v>0</v>
      </c>
      <c r="I4030" s="231">
        <f t="shared" si="125"/>
        <v>0</v>
      </c>
    </row>
    <row r="4031" spans="1:9" hidden="1">
      <c r="A4031" s="1569"/>
      <c r="B4031" s="107"/>
      <c r="C4031" s="654"/>
      <c r="D4031" s="654"/>
      <c r="E4031" s="256"/>
      <c r="H4031" s="231">
        <f t="shared" si="124"/>
        <v>0</v>
      </c>
      <c r="I4031" s="231">
        <f t="shared" si="125"/>
        <v>0</v>
      </c>
    </row>
    <row r="4032" spans="1:9" hidden="1">
      <c r="A4032" s="1569"/>
      <c r="B4032" s="107"/>
      <c r="C4032" s="654"/>
      <c r="D4032" s="654"/>
      <c r="E4032" s="256"/>
      <c r="H4032" s="231">
        <f t="shared" si="124"/>
        <v>0</v>
      </c>
      <c r="I4032" s="231">
        <f t="shared" si="125"/>
        <v>0</v>
      </c>
    </row>
    <row r="4033" spans="1:12" hidden="1">
      <c r="A4033" s="1569"/>
      <c r="B4033" s="107"/>
      <c r="C4033" s="654"/>
      <c r="D4033" s="654"/>
      <c r="E4033" s="256"/>
      <c r="H4033" s="231">
        <f t="shared" si="124"/>
        <v>0</v>
      </c>
      <c r="I4033" s="231">
        <f t="shared" si="125"/>
        <v>0</v>
      </c>
    </row>
    <row r="4034" spans="1:12" hidden="1">
      <c r="A4034" s="1569"/>
      <c r="B4034" s="107"/>
      <c r="C4034" s="654"/>
      <c r="D4034" s="654"/>
      <c r="E4034" s="256"/>
      <c r="H4034" s="231">
        <f t="shared" si="124"/>
        <v>0</v>
      </c>
      <c r="I4034" s="231">
        <f t="shared" si="125"/>
        <v>0</v>
      </c>
    </row>
    <row r="4035" spans="1:12">
      <c r="A4035" s="1659"/>
      <c r="B4035" s="209" t="s">
        <v>985</v>
      </c>
      <c r="C4035" s="581">
        <f>SUM(C4003:C4034)</f>
        <v>160112</v>
      </c>
      <c r="D4035" s="581">
        <f>SUM(D4003:D4034)</f>
        <v>74000</v>
      </c>
      <c r="E4035" s="581">
        <f>SUM(E4003:E4034)</f>
        <v>86112</v>
      </c>
      <c r="H4035" s="1497">
        <f t="shared" si="124"/>
        <v>0</v>
      </c>
      <c r="I4035" s="1497">
        <f t="shared" si="125"/>
        <v>320224</v>
      </c>
      <c r="J4035" s="1440"/>
      <c r="K4035" s="1490"/>
      <c r="L4035" s="1490"/>
    </row>
    <row r="4036" spans="1:12" hidden="1">
      <c r="A4036" s="1568" t="s">
        <v>647</v>
      </c>
      <c r="B4036" s="617"/>
      <c r="C4036" s="633"/>
      <c r="D4036" s="633"/>
      <c r="E4036" s="633"/>
      <c r="H4036" s="231">
        <f t="shared" si="124"/>
        <v>0</v>
      </c>
      <c r="I4036" s="231">
        <f t="shared" si="125"/>
        <v>0</v>
      </c>
    </row>
    <row r="4037" spans="1:12" hidden="1">
      <c r="A4037" s="1569"/>
      <c r="B4037" s="371"/>
      <c r="C4037" s="865"/>
      <c r="D4037" s="886"/>
      <c r="E4037" s="887"/>
      <c r="H4037" s="231">
        <f t="shared" si="124"/>
        <v>0</v>
      </c>
      <c r="I4037" s="231">
        <f t="shared" si="125"/>
        <v>0</v>
      </c>
    </row>
    <row r="4038" spans="1:12" hidden="1">
      <c r="A4038" s="1569"/>
      <c r="B4038" s="181"/>
      <c r="C4038" s="654"/>
      <c r="D4038" s="654"/>
      <c r="E4038" s="655"/>
      <c r="H4038" s="231">
        <f t="shared" si="124"/>
        <v>0</v>
      </c>
      <c r="I4038" s="231">
        <f t="shared" si="125"/>
        <v>0</v>
      </c>
    </row>
    <row r="4039" spans="1:12" hidden="1">
      <c r="A4039" s="1569"/>
      <c r="B4039" s="181"/>
      <c r="C4039" s="654"/>
      <c r="D4039" s="654"/>
      <c r="E4039" s="655"/>
      <c r="H4039" s="231">
        <f t="shared" si="124"/>
        <v>0</v>
      </c>
      <c r="I4039" s="231">
        <f t="shared" si="125"/>
        <v>0</v>
      </c>
    </row>
    <row r="4040" spans="1:12" hidden="1">
      <c r="A4040" s="1569"/>
      <c r="B4040" s="107"/>
      <c r="C4040" s="654"/>
      <c r="D4040" s="654"/>
      <c r="E4040" s="654"/>
      <c r="H4040" s="231">
        <f t="shared" si="124"/>
        <v>0</v>
      </c>
      <c r="I4040" s="231">
        <f t="shared" si="125"/>
        <v>0</v>
      </c>
    </row>
    <row r="4041" spans="1:12" hidden="1">
      <c r="A4041" s="1569"/>
      <c r="B4041" s="116"/>
      <c r="C4041" s="679"/>
      <c r="D4041" s="679"/>
      <c r="E4041" s="654"/>
      <c r="H4041" s="231">
        <f t="shared" ref="H4041:H4104" si="126">E4041+D4041-C4041</f>
        <v>0</v>
      </c>
      <c r="I4041" s="231">
        <f t="shared" ref="I4041:I4104" si="127">SUM(C4041:E4041)</f>
        <v>0</v>
      </c>
    </row>
    <row r="4042" spans="1:12" hidden="1">
      <c r="A4042" s="1569"/>
      <c r="B4042" s="107"/>
      <c r="C4042" s="654"/>
      <c r="D4042" s="654"/>
      <c r="E4042" s="654"/>
      <c r="H4042" s="231">
        <f t="shared" si="126"/>
        <v>0</v>
      </c>
      <c r="I4042" s="231">
        <f t="shared" si="127"/>
        <v>0</v>
      </c>
    </row>
    <row r="4043" spans="1:12" hidden="1">
      <c r="A4043" s="1569"/>
      <c r="B4043" s="116"/>
      <c r="C4043" s="679"/>
      <c r="D4043" s="679"/>
      <c r="E4043" s="679"/>
      <c r="H4043" s="231">
        <f t="shared" si="126"/>
        <v>0</v>
      </c>
      <c r="I4043" s="231">
        <f t="shared" si="127"/>
        <v>0</v>
      </c>
    </row>
    <row r="4044" spans="1:12" hidden="1">
      <c r="A4044" s="1569"/>
      <c r="B4044" s="116"/>
      <c r="C4044" s="679"/>
      <c r="D4044" s="679"/>
      <c r="E4044" s="654"/>
      <c r="H4044" s="231">
        <f t="shared" si="126"/>
        <v>0</v>
      </c>
      <c r="I4044" s="231">
        <f t="shared" si="127"/>
        <v>0</v>
      </c>
    </row>
    <row r="4045" spans="1:12" hidden="1">
      <c r="A4045" s="1569"/>
      <c r="B4045" s="107"/>
      <c r="C4045" s="654"/>
      <c r="D4045" s="654"/>
      <c r="E4045" s="654"/>
      <c r="H4045" s="231">
        <f t="shared" si="126"/>
        <v>0</v>
      </c>
      <c r="I4045" s="231">
        <f t="shared" si="127"/>
        <v>0</v>
      </c>
    </row>
    <row r="4046" spans="1:12" hidden="1">
      <c r="A4046" s="1569"/>
      <c r="B4046" s="107"/>
      <c r="C4046" s="654"/>
      <c r="D4046" s="654"/>
      <c r="E4046" s="256"/>
      <c r="H4046" s="231">
        <f t="shared" si="126"/>
        <v>0</v>
      </c>
      <c r="I4046" s="231">
        <f t="shared" si="127"/>
        <v>0</v>
      </c>
    </row>
    <row r="4047" spans="1:12" hidden="1">
      <c r="A4047" s="1569"/>
      <c r="B4047" s="107"/>
      <c r="C4047" s="654"/>
      <c r="D4047" s="654"/>
      <c r="E4047" s="256"/>
      <c r="H4047" s="231">
        <f t="shared" si="126"/>
        <v>0</v>
      </c>
      <c r="I4047" s="231">
        <f t="shared" si="127"/>
        <v>0</v>
      </c>
    </row>
    <row r="4048" spans="1:12" hidden="1">
      <c r="A4048" s="1569"/>
      <c r="B4048" s="107"/>
      <c r="C4048" s="654"/>
      <c r="D4048" s="654"/>
      <c r="E4048" s="256"/>
      <c r="H4048" s="231">
        <f t="shared" si="126"/>
        <v>0</v>
      </c>
      <c r="I4048" s="231">
        <f t="shared" si="127"/>
        <v>0</v>
      </c>
    </row>
    <row r="4049" spans="1:9" hidden="1">
      <c r="A4049" s="1569"/>
      <c r="B4049" s="107"/>
      <c r="C4049" s="654"/>
      <c r="D4049" s="654"/>
      <c r="E4049" s="256"/>
      <c r="H4049" s="231">
        <f t="shared" si="126"/>
        <v>0</v>
      </c>
      <c r="I4049" s="231">
        <f t="shared" si="127"/>
        <v>0</v>
      </c>
    </row>
    <row r="4050" spans="1:9" hidden="1">
      <c r="A4050" s="1569"/>
      <c r="B4050" s="116"/>
      <c r="C4050" s="679"/>
      <c r="D4050" s="679"/>
      <c r="E4050" s="256"/>
      <c r="H4050" s="231">
        <f t="shared" si="126"/>
        <v>0</v>
      </c>
      <c r="I4050" s="231">
        <f t="shared" si="127"/>
        <v>0</v>
      </c>
    </row>
    <row r="4051" spans="1:9" hidden="1">
      <c r="A4051" s="1569"/>
      <c r="B4051" s="107"/>
      <c r="C4051" s="654"/>
      <c r="D4051" s="654"/>
      <c r="E4051" s="256"/>
      <c r="H4051" s="231">
        <f t="shared" si="126"/>
        <v>0</v>
      </c>
      <c r="I4051" s="231">
        <f t="shared" si="127"/>
        <v>0</v>
      </c>
    </row>
    <row r="4052" spans="1:9" hidden="1">
      <c r="A4052" s="1569"/>
      <c r="B4052" s="107"/>
      <c r="C4052" s="654"/>
      <c r="D4052" s="654"/>
      <c r="E4052" s="256"/>
      <c r="H4052" s="231">
        <f t="shared" si="126"/>
        <v>0</v>
      </c>
      <c r="I4052" s="231">
        <f t="shared" si="127"/>
        <v>0</v>
      </c>
    </row>
    <row r="4053" spans="1:9" hidden="1">
      <c r="A4053" s="1569"/>
      <c r="B4053" s="107"/>
      <c r="C4053" s="654"/>
      <c r="D4053" s="654"/>
      <c r="E4053" s="256"/>
      <c r="H4053" s="231">
        <f t="shared" si="126"/>
        <v>0</v>
      </c>
      <c r="I4053" s="231">
        <f t="shared" si="127"/>
        <v>0</v>
      </c>
    </row>
    <row r="4054" spans="1:9" hidden="1">
      <c r="A4054" s="1569"/>
      <c r="B4054" s="107"/>
      <c r="C4054" s="654"/>
      <c r="D4054" s="654"/>
      <c r="E4054" s="256"/>
      <c r="H4054" s="231">
        <f t="shared" si="126"/>
        <v>0</v>
      </c>
      <c r="I4054" s="231">
        <f t="shared" si="127"/>
        <v>0</v>
      </c>
    </row>
    <row r="4055" spans="1:9" hidden="1">
      <c r="A4055" s="1569"/>
      <c r="B4055" s="107"/>
      <c r="C4055" s="654"/>
      <c r="D4055" s="654"/>
      <c r="E4055" s="256"/>
      <c r="H4055" s="231">
        <f t="shared" si="126"/>
        <v>0</v>
      </c>
      <c r="I4055" s="231">
        <f t="shared" si="127"/>
        <v>0</v>
      </c>
    </row>
    <row r="4056" spans="1:9" hidden="1">
      <c r="A4056" s="1569"/>
      <c r="B4056" s="107"/>
      <c r="C4056" s="654"/>
      <c r="D4056" s="654"/>
      <c r="E4056" s="256"/>
      <c r="H4056" s="231">
        <f t="shared" si="126"/>
        <v>0</v>
      </c>
      <c r="I4056" s="231">
        <f t="shared" si="127"/>
        <v>0</v>
      </c>
    </row>
    <row r="4057" spans="1:9" hidden="1">
      <c r="A4057" s="1569"/>
      <c r="B4057" s="107"/>
      <c r="C4057" s="654"/>
      <c r="D4057" s="654"/>
      <c r="E4057" s="256"/>
      <c r="H4057" s="231">
        <f t="shared" si="126"/>
        <v>0</v>
      </c>
      <c r="I4057" s="231">
        <f t="shared" si="127"/>
        <v>0</v>
      </c>
    </row>
    <row r="4058" spans="1:9" hidden="1">
      <c r="A4058" s="1569"/>
      <c r="B4058" s="107"/>
      <c r="C4058" s="654"/>
      <c r="D4058" s="654"/>
      <c r="E4058" s="256"/>
      <c r="H4058" s="231">
        <f t="shared" si="126"/>
        <v>0</v>
      </c>
      <c r="I4058" s="231">
        <f t="shared" si="127"/>
        <v>0</v>
      </c>
    </row>
    <row r="4059" spans="1:9" hidden="1">
      <c r="A4059" s="1569"/>
      <c r="B4059" s="107"/>
      <c r="C4059" s="654"/>
      <c r="D4059" s="654"/>
      <c r="E4059" s="256"/>
      <c r="H4059" s="231">
        <f t="shared" si="126"/>
        <v>0</v>
      </c>
      <c r="I4059" s="231">
        <f t="shared" si="127"/>
        <v>0</v>
      </c>
    </row>
    <row r="4060" spans="1:9" hidden="1">
      <c r="A4060" s="1569"/>
      <c r="B4060" s="107"/>
      <c r="C4060" s="654"/>
      <c r="D4060" s="654"/>
      <c r="E4060" s="256"/>
      <c r="H4060" s="231">
        <f t="shared" si="126"/>
        <v>0</v>
      </c>
      <c r="I4060" s="231">
        <f t="shared" si="127"/>
        <v>0</v>
      </c>
    </row>
    <row r="4061" spans="1:9" hidden="1">
      <c r="A4061" s="1569"/>
      <c r="B4061" s="107"/>
      <c r="C4061" s="654"/>
      <c r="D4061" s="654"/>
      <c r="E4061" s="256"/>
      <c r="H4061" s="231">
        <f t="shared" si="126"/>
        <v>0</v>
      </c>
      <c r="I4061" s="231">
        <f t="shared" si="127"/>
        <v>0</v>
      </c>
    </row>
    <row r="4062" spans="1:9" hidden="1">
      <c r="A4062" s="1569"/>
      <c r="B4062" s="107"/>
      <c r="C4062" s="654"/>
      <c r="D4062" s="654"/>
      <c r="E4062" s="256"/>
      <c r="H4062" s="231">
        <f t="shared" si="126"/>
        <v>0</v>
      </c>
      <c r="I4062" s="231">
        <f t="shared" si="127"/>
        <v>0</v>
      </c>
    </row>
    <row r="4063" spans="1:9" hidden="1">
      <c r="A4063" s="1569"/>
      <c r="B4063" s="107"/>
      <c r="C4063" s="654"/>
      <c r="D4063" s="654"/>
      <c r="E4063" s="256"/>
      <c r="H4063" s="231">
        <f t="shared" si="126"/>
        <v>0</v>
      </c>
      <c r="I4063" s="231">
        <f t="shared" si="127"/>
        <v>0</v>
      </c>
    </row>
    <row r="4064" spans="1:9" hidden="1">
      <c r="A4064" s="1569"/>
      <c r="B4064" s="107"/>
      <c r="C4064" s="654"/>
      <c r="D4064" s="654"/>
      <c r="E4064" s="256"/>
      <c r="H4064" s="231">
        <f t="shared" si="126"/>
        <v>0</v>
      </c>
      <c r="I4064" s="231">
        <f t="shared" si="127"/>
        <v>0</v>
      </c>
    </row>
    <row r="4065" spans="1:12" hidden="1">
      <c r="A4065" s="1569"/>
      <c r="B4065" s="107"/>
      <c r="C4065" s="654"/>
      <c r="D4065" s="654"/>
      <c r="E4065" s="256"/>
      <c r="H4065" s="231">
        <f t="shared" si="126"/>
        <v>0</v>
      </c>
      <c r="I4065" s="231">
        <f t="shared" si="127"/>
        <v>0</v>
      </c>
    </row>
    <row r="4066" spans="1:12" hidden="1">
      <c r="A4066" s="1569"/>
      <c r="B4066" s="107"/>
      <c r="C4066" s="654"/>
      <c r="D4066" s="654"/>
      <c r="E4066" s="256"/>
      <c r="H4066" s="231">
        <f t="shared" si="126"/>
        <v>0</v>
      </c>
      <c r="I4066" s="231">
        <f t="shared" si="127"/>
        <v>0</v>
      </c>
    </row>
    <row r="4067" spans="1:12" hidden="1">
      <c r="A4067" s="1569"/>
      <c r="B4067" s="107"/>
      <c r="C4067" s="654"/>
      <c r="D4067" s="654"/>
      <c r="E4067" s="256"/>
      <c r="H4067" s="231">
        <f t="shared" si="126"/>
        <v>0</v>
      </c>
      <c r="I4067" s="231">
        <f t="shared" si="127"/>
        <v>0</v>
      </c>
    </row>
    <row r="4068" spans="1:12" hidden="1">
      <c r="A4068" s="1569"/>
      <c r="B4068" s="107"/>
      <c r="C4068" s="654"/>
      <c r="D4068" s="654"/>
      <c r="E4068" s="256"/>
      <c r="H4068" s="231">
        <f t="shared" si="126"/>
        <v>0</v>
      </c>
      <c r="I4068" s="231">
        <f t="shared" si="127"/>
        <v>0</v>
      </c>
    </row>
    <row r="4069" spans="1:12" hidden="1">
      <c r="A4069" s="1569"/>
      <c r="B4069" s="107"/>
      <c r="C4069" s="654"/>
      <c r="D4069" s="654"/>
      <c r="E4069" s="256"/>
      <c r="H4069" s="231">
        <f t="shared" si="126"/>
        <v>0</v>
      </c>
      <c r="I4069" s="231">
        <f t="shared" si="127"/>
        <v>0</v>
      </c>
    </row>
    <row r="4070" spans="1:12" hidden="1">
      <c r="A4070" s="1659"/>
      <c r="B4070" s="209" t="s">
        <v>985</v>
      </c>
      <c r="C4070" s="735">
        <f>SUM(C4036:C4069)</f>
        <v>0</v>
      </c>
      <c r="D4070" s="735">
        <f>SUM(D4036:D4069)</f>
        <v>0</v>
      </c>
      <c r="E4070" s="735">
        <f>SUM(E4036:E4069)</f>
        <v>0</v>
      </c>
      <c r="H4070" s="231">
        <f t="shared" si="126"/>
        <v>0</v>
      </c>
      <c r="I4070" s="231">
        <f t="shared" si="127"/>
        <v>0</v>
      </c>
    </row>
    <row r="4071" spans="1:12" ht="131.25">
      <c r="A4071" s="1568" t="s">
        <v>1132</v>
      </c>
      <c r="B4071" s="107" t="s">
        <v>1888</v>
      </c>
      <c r="C4071" s="256">
        <v>35994</v>
      </c>
      <c r="D4071" s="256">
        <v>35994</v>
      </c>
      <c r="E4071" s="184"/>
      <c r="H4071" s="1497">
        <f t="shared" si="126"/>
        <v>0</v>
      </c>
      <c r="I4071" s="1497">
        <f t="shared" si="127"/>
        <v>71988</v>
      </c>
      <c r="J4071" s="1440"/>
      <c r="K4071" s="1490"/>
      <c r="L4071" s="1490"/>
    </row>
    <row r="4072" spans="1:12" hidden="1">
      <c r="A4072" s="1569"/>
      <c r="B4072" s="371"/>
      <c r="C4072" s="865"/>
      <c r="D4072" s="886"/>
      <c r="E4072" s="887"/>
      <c r="H4072" s="231">
        <f t="shared" si="126"/>
        <v>0</v>
      </c>
      <c r="I4072" s="231">
        <f t="shared" si="127"/>
        <v>0</v>
      </c>
    </row>
    <row r="4073" spans="1:12" hidden="1">
      <c r="A4073" s="1569"/>
      <c r="B4073" s="181"/>
      <c r="C4073" s="654"/>
      <c r="D4073" s="654"/>
      <c r="E4073" s="655"/>
      <c r="H4073" s="231">
        <f t="shared" si="126"/>
        <v>0</v>
      </c>
      <c r="I4073" s="231">
        <f t="shared" si="127"/>
        <v>0</v>
      </c>
    </row>
    <row r="4074" spans="1:12" hidden="1">
      <c r="A4074" s="1569"/>
      <c r="B4074" s="181"/>
      <c r="C4074" s="654"/>
      <c r="D4074" s="654"/>
      <c r="E4074" s="655"/>
      <c r="H4074" s="231">
        <f t="shared" si="126"/>
        <v>0</v>
      </c>
      <c r="I4074" s="231">
        <f t="shared" si="127"/>
        <v>0</v>
      </c>
    </row>
    <row r="4075" spans="1:12" hidden="1">
      <c r="A4075" s="1569"/>
      <c r="B4075" s="107"/>
      <c r="C4075" s="654"/>
      <c r="D4075" s="654"/>
      <c r="E4075" s="654"/>
      <c r="H4075" s="231">
        <f t="shared" si="126"/>
        <v>0</v>
      </c>
      <c r="I4075" s="231">
        <f t="shared" si="127"/>
        <v>0</v>
      </c>
    </row>
    <row r="4076" spans="1:12" hidden="1">
      <c r="A4076" s="1569"/>
      <c r="B4076" s="116"/>
      <c r="C4076" s="679"/>
      <c r="D4076" s="679"/>
      <c r="E4076" s="654"/>
      <c r="H4076" s="231">
        <f t="shared" si="126"/>
        <v>0</v>
      </c>
      <c r="I4076" s="231">
        <f t="shared" si="127"/>
        <v>0</v>
      </c>
    </row>
    <row r="4077" spans="1:12" hidden="1">
      <c r="A4077" s="1569"/>
      <c r="B4077" s="107"/>
      <c r="C4077" s="654"/>
      <c r="D4077" s="654"/>
      <c r="E4077" s="654"/>
      <c r="H4077" s="231">
        <f t="shared" si="126"/>
        <v>0</v>
      </c>
      <c r="I4077" s="231">
        <f t="shared" si="127"/>
        <v>0</v>
      </c>
    </row>
    <row r="4078" spans="1:12" hidden="1">
      <c r="A4078" s="1569"/>
      <c r="B4078" s="116"/>
      <c r="C4078" s="679"/>
      <c r="D4078" s="679"/>
      <c r="E4078" s="679"/>
      <c r="H4078" s="231">
        <f t="shared" si="126"/>
        <v>0</v>
      </c>
      <c r="I4078" s="231">
        <f t="shared" si="127"/>
        <v>0</v>
      </c>
    </row>
    <row r="4079" spans="1:12" hidden="1">
      <c r="A4079" s="1569"/>
      <c r="B4079" s="116"/>
      <c r="C4079" s="679"/>
      <c r="D4079" s="679"/>
      <c r="E4079" s="654"/>
      <c r="H4079" s="231">
        <f t="shared" si="126"/>
        <v>0</v>
      </c>
      <c r="I4079" s="231">
        <f t="shared" si="127"/>
        <v>0</v>
      </c>
    </row>
    <row r="4080" spans="1:12" hidden="1">
      <c r="A4080" s="1569"/>
      <c r="B4080" s="107"/>
      <c r="C4080" s="654"/>
      <c r="D4080" s="654"/>
      <c r="E4080" s="654"/>
      <c r="H4080" s="231">
        <f t="shared" si="126"/>
        <v>0</v>
      </c>
      <c r="I4080" s="231">
        <f t="shared" si="127"/>
        <v>0</v>
      </c>
    </row>
    <row r="4081" spans="1:9" hidden="1">
      <c r="A4081" s="1569"/>
      <c r="B4081" s="107"/>
      <c r="C4081" s="654"/>
      <c r="D4081" s="654"/>
      <c r="E4081" s="256"/>
      <c r="H4081" s="231">
        <f t="shared" si="126"/>
        <v>0</v>
      </c>
      <c r="I4081" s="231">
        <f t="shared" si="127"/>
        <v>0</v>
      </c>
    </row>
    <row r="4082" spans="1:9" hidden="1">
      <c r="A4082" s="1569"/>
      <c r="B4082" s="107"/>
      <c r="C4082" s="654"/>
      <c r="D4082" s="654"/>
      <c r="E4082" s="256"/>
      <c r="H4082" s="231">
        <f t="shared" si="126"/>
        <v>0</v>
      </c>
      <c r="I4082" s="231">
        <f t="shared" si="127"/>
        <v>0</v>
      </c>
    </row>
    <row r="4083" spans="1:9" hidden="1">
      <c r="A4083" s="1569"/>
      <c r="B4083" s="107"/>
      <c r="C4083" s="654"/>
      <c r="D4083" s="654"/>
      <c r="E4083" s="256"/>
      <c r="H4083" s="231">
        <f t="shared" si="126"/>
        <v>0</v>
      </c>
      <c r="I4083" s="231">
        <f t="shared" si="127"/>
        <v>0</v>
      </c>
    </row>
    <row r="4084" spans="1:9" hidden="1">
      <c r="A4084" s="1569"/>
      <c r="B4084" s="107"/>
      <c r="C4084" s="654"/>
      <c r="D4084" s="654"/>
      <c r="E4084" s="256"/>
      <c r="H4084" s="231">
        <f t="shared" si="126"/>
        <v>0</v>
      </c>
      <c r="I4084" s="231">
        <f t="shared" si="127"/>
        <v>0</v>
      </c>
    </row>
    <row r="4085" spans="1:9" hidden="1">
      <c r="A4085" s="1569"/>
      <c r="B4085" s="116"/>
      <c r="C4085" s="679"/>
      <c r="D4085" s="679"/>
      <c r="E4085" s="256"/>
      <c r="H4085" s="231">
        <f t="shared" si="126"/>
        <v>0</v>
      </c>
      <c r="I4085" s="231">
        <f t="shared" si="127"/>
        <v>0</v>
      </c>
    </row>
    <row r="4086" spans="1:9" hidden="1">
      <c r="A4086" s="1569"/>
      <c r="B4086" s="107"/>
      <c r="C4086" s="654"/>
      <c r="D4086" s="654"/>
      <c r="E4086" s="256"/>
      <c r="H4086" s="231">
        <f t="shared" si="126"/>
        <v>0</v>
      </c>
      <c r="I4086" s="231">
        <f t="shared" si="127"/>
        <v>0</v>
      </c>
    </row>
    <row r="4087" spans="1:9" hidden="1">
      <c r="A4087" s="1569"/>
      <c r="B4087" s="107"/>
      <c r="C4087" s="654"/>
      <c r="D4087" s="654"/>
      <c r="E4087" s="256"/>
      <c r="H4087" s="231">
        <f t="shared" si="126"/>
        <v>0</v>
      </c>
      <c r="I4087" s="231">
        <f t="shared" si="127"/>
        <v>0</v>
      </c>
    </row>
    <row r="4088" spans="1:9" hidden="1">
      <c r="A4088" s="1569"/>
      <c r="B4088" s="107"/>
      <c r="C4088" s="654"/>
      <c r="D4088" s="654"/>
      <c r="E4088" s="256"/>
      <c r="H4088" s="231">
        <f t="shared" si="126"/>
        <v>0</v>
      </c>
      <c r="I4088" s="231">
        <f t="shared" si="127"/>
        <v>0</v>
      </c>
    </row>
    <row r="4089" spans="1:9" hidden="1">
      <c r="A4089" s="1569"/>
      <c r="B4089" s="107"/>
      <c r="C4089" s="654"/>
      <c r="D4089" s="654"/>
      <c r="E4089" s="256"/>
      <c r="H4089" s="231">
        <f t="shared" si="126"/>
        <v>0</v>
      </c>
      <c r="I4089" s="231">
        <f t="shared" si="127"/>
        <v>0</v>
      </c>
    </row>
    <row r="4090" spans="1:9" hidden="1">
      <c r="A4090" s="1569"/>
      <c r="B4090" s="107"/>
      <c r="C4090" s="654"/>
      <c r="D4090" s="654"/>
      <c r="E4090" s="256"/>
      <c r="H4090" s="231">
        <f t="shared" si="126"/>
        <v>0</v>
      </c>
      <c r="I4090" s="231">
        <f t="shared" si="127"/>
        <v>0</v>
      </c>
    </row>
    <row r="4091" spans="1:9" hidden="1">
      <c r="A4091" s="1569"/>
      <c r="B4091" s="107"/>
      <c r="C4091" s="654"/>
      <c r="D4091" s="654"/>
      <c r="E4091" s="256"/>
      <c r="H4091" s="231">
        <f t="shared" si="126"/>
        <v>0</v>
      </c>
      <c r="I4091" s="231">
        <f t="shared" si="127"/>
        <v>0</v>
      </c>
    </row>
    <row r="4092" spans="1:9" hidden="1">
      <c r="A4092" s="1569"/>
      <c r="B4092" s="107"/>
      <c r="C4092" s="654"/>
      <c r="D4092" s="654"/>
      <c r="E4092" s="256"/>
      <c r="H4092" s="231">
        <f t="shared" si="126"/>
        <v>0</v>
      </c>
      <c r="I4092" s="231">
        <f t="shared" si="127"/>
        <v>0</v>
      </c>
    </row>
    <row r="4093" spans="1:9" hidden="1">
      <c r="A4093" s="1569"/>
      <c r="B4093" s="107"/>
      <c r="C4093" s="654"/>
      <c r="D4093" s="654"/>
      <c r="E4093" s="256"/>
      <c r="H4093" s="231">
        <f t="shared" si="126"/>
        <v>0</v>
      </c>
      <c r="I4093" s="231">
        <f t="shared" si="127"/>
        <v>0</v>
      </c>
    </row>
    <row r="4094" spans="1:9" hidden="1">
      <c r="A4094" s="1569"/>
      <c r="B4094" s="107"/>
      <c r="C4094" s="654"/>
      <c r="D4094" s="654"/>
      <c r="E4094" s="256"/>
      <c r="H4094" s="231">
        <f t="shared" si="126"/>
        <v>0</v>
      </c>
      <c r="I4094" s="231">
        <f t="shared" si="127"/>
        <v>0</v>
      </c>
    </row>
    <row r="4095" spans="1:9" hidden="1">
      <c r="A4095" s="1569"/>
      <c r="B4095" s="107"/>
      <c r="C4095" s="654"/>
      <c r="D4095" s="654"/>
      <c r="E4095" s="256"/>
      <c r="H4095" s="231">
        <f t="shared" si="126"/>
        <v>0</v>
      </c>
      <c r="I4095" s="231">
        <f t="shared" si="127"/>
        <v>0</v>
      </c>
    </row>
    <row r="4096" spans="1:9" hidden="1">
      <c r="A4096" s="1569"/>
      <c r="B4096" s="107"/>
      <c r="C4096" s="654"/>
      <c r="D4096" s="654"/>
      <c r="E4096" s="256"/>
      <c r="H4096" s="231">
        <f t="shared" si="126"/>
        <v>0</v>
      </c>
      <c r="I4096" s="231">
        <f t="shared" si="127"/>
        <v>0</v>
      </c>
    </row>
    <row r="4097" spans="1:12" hidden="1">
      <c r="A4097" s="1569"/>
      <c r="B4097" s="107"/>
      <c r="C4097" s="654"/>
      <c r="D4097" s="654"/>
      <c r="E4097" s="256"/>
      <c r="H4097" s="231">
        <f t="shared" si="126"/>
        <v>0</v>
      </c>
      <c r="I4097" s="231">
        <f t="shared" si="127"/>
        <v>0</v>
      </c>
    </row>
    <row r="4098" spans="1:12" hidden="1">
      <c r="A4098" s="1569"/>
      <c r="B4098" s="107"/>
      <c r="C4098" s="654"/>
      <c r="D4098" s="654"/>
      <c r="E4098" s="256"/>
      <c r="H4098" s="231">
        <f t="shared" si="126"/>
        <v>0</v>
      </c>
      <c r="I4098" s="231">
        <f t="shared" si="127"/>
        <v>0</v>
      </c>
    </row>
    <row r="4099" spans="1:12" hidden="1">
      <c r="A4099" s="1569"/>
      <c r="B4099" s="107"/>
      <c r="C4099" s="654"/>
      <c r="D4099" s="654"/>
      <c r="E4099" s="256"/>
      <c r="H4099" s="231">
        <f t="shared" si="126"/>
        <v>0</v>
      </c>
      <c r="I4099" s="231">
        <f t="shared" si="127"/>
        <v>0</v>
      </c>
    </row>
    <row r="4100" spans="1:12" hidden="1">
      <c r="A4100" s="1569"/>
      <c r="B4100" s="107"/>
      <c r="C4100" s="654"/>
      <c r="D4100" s="654"/>
      <c r="E4100" s="256"/>
      <c r="H4100" s="231">
        <f t="shared" si="126"/>
        <v>0</v>
      </c>
      <c r="I4100" s="231">
        <f t="shared" si="127"/>
        <v>0</v>
      </c>
    </row>
    <row r="4101" spans="1:12" hidden="1">
      <c r="A4101" s="1569"/>
      <c r="B4101" s="107"/>
      <c r="C4101" s="654"/>
      <c r="D4101" s="654"/>
      <c r="E4101" s="256"/>
      <c r="H4101" s="231">
        <f t="shared" si="126"/>
        <v>0</v>
      </c>
      <c r="I4101" s="231">
        <f t="shared" si="127"/>
        <v>0</v>
      </c>
    </row>
    <row r="4102" spans="1:12" hidden="1">
      <c r="A4102" s="1569"/>
      <c r="B4102" s="107"/>
      <c r="C4102" s="654"/>
      <c r="D4102" s="654"/>
      <c r="E4102" s="256"/>
      <c r="H4102" s="231">
        <f t="shared" si="126"/>
        <v>0</v>
      </c>
      <c r="I4102" s="231">
        <f t="shared" si="127"/>
        <v>0</v>
      </c>
    </row>
    <row r="4103" spans="1:12" hidden="1">
      <c r="A4103" s="1569"/>
      <c r="B4103" s="107"/>
      <c r="C4103" s="654"/>
      <c r="D4103" s="654"/>
      <c r="E4103" s="256"/>
      <c r="H4103" s="231">
        <f t="shared" si="126"/>
        <v>0</v>
      </c>
      <c r="I4103" s="231">
        <f t="shared" si="127"/>
        <v>0</v>
      </c>
    </row>
    <row r="4104" spans="1:12" hidden="1">
      <c r="A4104" s="1569"/>
      <c r="B4104" s="107"/>
      <c r="C4104" s="654"/>
      <c r="D4104" s="654"/>
      <c r="E4104" s="256"/>
      <c r="H4104" s="231">
        <f t="shared" si="126"/>
        <v>0</v>
      </c>
      <c r="I4104" s="231">
        <f t="shared" si="127"/>
        <v>0</v>
      </c>
    </row>
    <row r="4105" spans="1:12">
      <c r="A4105" s="1659"/>
      <c r="B4105" s="209" t="s">
        <v>985</v>
      </c>
      <c r="C4105" s="735">
        <f>SUM(C4071:C4104)</f>
        <v>35994</v>
      </c>
      <c r="D4105" s="735">
        <f>SUM(D4071:D4104)</f>
        <v>35994</v>
      </c>
      <c r="E4105" s="735">
        <f>SUM(E4071:E4104)</f>
        <v>0</v>
      </c>
      <c r="H4105" s="1497">
        <f t="shared" ref="H4105:H4166" si="128">E4105+D4105-C4105</f>
        <v>0</v>
      </c>
      <c r="I4105" s="1497">
        <f t="shared" ref="I4105:I4168" si="129">SUM(C4105:E4105)</f>
        <v>71988</v>
      </c>
      <c r="J4105" s="1440"/>
      <c r="K4105" s="1490"/>
      <c r="L4105" s="1490"/>
    </row>
    <row r="4106" spans="1:12" hidden="1">
      <c r="A4106" s="1568" t="s">
        <v>970</v>
      </c>
      <c r="B4106" s="617"/>
      <c r="C4106" s="633"/>
      <c r="D4106" s="633"/>
      <c r="E4106" s="633"/>
      <c r="H4106" s="231">
        <f t="shared" si="128"/>
        <v>0</v>
      </c>
      <c r="I4106" s="231">
        <f t="shared" si="129"/>
        <v>0</v>
      </c>
    </row>
    <row r="4107" spans="1:12" hidden="1">
      <c r="A4107" s="1569"/>
      <c r="B4107" s="371"/>
      <c r="C4107" s="865"/>
      <c r="D4107" s="886"/>
      <c r="E4107" s="887"/>
      <c r="H4107" s="231">
        <f t="shared" si="128"/>
        <v>0</v>
      </c>
      <c r="I4107" s="231">
        <f t="shared" si="129"/>
        <v>0</v>
      </c>
    </row>
    <row r="4108" spans="1:12" hidden="1">
      <c r="A4108" s="1569"/>
      <c r="B4108" s="181"/>
      <c r="C4108" s="654"/>
      <c r="D4108" s="654"/>
      <c r="E4108" s="655"/>
      <c r="H4108" s="231">
        <f t="shared" si="128"/>
        <v>0</v>
      </c>
      <c r="I4108" s="231">
        <f t="shared" si="129"/>
        <v>0</v>
      </c>
    </row>
    <row r="4109" spans="1:12" hidden="1">
      <c r="A4109" s="1569"/>
      <c r="B4109" s="181"/>
      <c r="C4109" s="654"/>
      <c r="D4109" s="654"/>
      <c r="E4109" s="655"/>
      <c r="H4109" s="231">
        <f t="shared" si="128"/>
        <v>0</v>
      </c>
      <c r="I4109" s="231">
        <f t="shared" si="129"/>
        <v>0</v>
      </c>
    </row>
    <row r="4110" spans="1:12" hidden="1">
      <c r="A4110" s="1569"/>
      <c r="B4110" s="107"/>
      <c r="C4110" s="654"/>
      <c r="D4110" s="654"/>
      <c r="E4110" s="654"/>
      <c r="H4110" s="231">
        <f t="shared" si="128"/>
        <v>0</v>
      </c>
      <c r="I4110" s="231">
        <f t="shared" si="129"/>
        <v>0</v>
      </c>
    </row>
    <row r="4111" spans="1:12" hidden="1">
      <c r="A4111" s="1569"/>
      <c r="B4111" s="116"/>
      <c r="C4111" s="679"/>
      <c r="D4111" s="679"/>
      <c r="E4111" s="654"/>
      <c r="H4111" s="231">
        <f t="shared" si="128"/>
        <v>0</v>
      </c>
      <c r="I4111" s="231">
        <f t="shared" si="129"/>
        <v>0</v>
      </c>
    </row>
    <row r="4112" spans="1:12" hidden="1">
      <c r="A4112" s="1569"/>
      <c r="B4112" s="107"/>
      <c r="C4112" s="654"/>
      <c r="D4112" s="654"/>
      <c r="E4112" s="654"/>
      <c r="H4112" s="231">
        <f t="shared" si="128"/>
        <v>0</v>
      </c>
      <c r="I4112" s="231">
        <f t="shared" si="129"/>
        <v>0</v>
      </c>
    </row>
    <row r="4113" spans="1:9" hidden="1">
      <c r="A4113" s="1569"/>
      <c r="B4113" s="116"/>
      <c r="C4113" s="679"/>
      <c r="D4113" s="679"/>
      <c r="E4113" s="679"/>
      <c r="H4113" s="231">
        <f t="shared" si="128"/>
        <v>0</v>
      </c>
      <c r="I4113" s="231">
        <f t="shared" si="129"/>
        <v>0</v>
      </c>
    </row>
    <row r="4114" spans="1:9" hidden="1">
      <c r="A4114" s="1569"/>
      <c r="B4114" s="116"/>
      <c r="C4114" s="679"/>
      <c r="D4114" s="679"/>
      <c r="E4114" s="654"/>
      <c r="H4114" s="231">
        <f t="shared" si="128"/>
        <v>0</v>
      </c>
      <c r="I4114" s="231">
        <f t="shared" si="129"/>
        <v>0</v>
      </c>
    </row>
    <row r="4115" spans="1:9" hidden="1">
      <c r="A4115" s="1569"/>
      <c r="B4115" s="107"/>
      <c r="C4115" s="654"/>
      <c r="D4115" s="654"/>
      <c r="E4115" s="654"/>
      <c r="H4115" s="231">
        <f t="shared" si="128"/>
        <v>0</v>
      </c>
      <c r="I4115" s="231">
        <f t="shared" si="129"/>
        <v>0</v>
      </c>
    </row>
    <row r="4116" spans="1:9" hidden="1">
      <c r="A4116" s="1569"/>
      <c r="B4116" s="107"/>
      <c r="C4116" s="654"/>
      <c r="D4116" s="654"/>
      <c r="E4116" s="256"/>
      <c r="H4116" s="231">
        <f t="shared" si="128"/>
        <v>0</v>
      </c>
      <c r="I4116" s="231">
        <f t="shared" si="129"/>
        <v>0</v>
      </c>
    </row>
    <row r="4117" spans="1:9" hidden="1">
      <c r="A4117" s="1569"/>
      <c r="B4117" s="107"/>
      <c r="C4117" s="654"/>
      <c r="D4117" s="654"/>
      <c r="E4117" s="256"/>
      <c r="H4117" s="231">
        <f t="shared" si="128"/>
        <v>0</v>
      </c>
      <c r="I4117" s="231">
        <f t="shared" si="129"/>
        <v>0</v>
      </c>
    </row>
    <row r="4118" spans="1:9" hidden="1">
      <c r="A4118" s="1569"/>
      <c r="B4118" s="107"/>
      <c r="C4118" s="654"/>
      <c r="D4118" s="654"/>
      <c r="E4118" s="256"/>
      <c r="H4118" s="231">
        <f t="shared" si="128"/>
        <v>0</v>
      </c>
      <c r="I4118" s="231">
        <f t="shared" si="129"/>
        <v>0</v>
      </c>
    </row>
    <row r="4119" spans="1:9" hidden="1">
      <c r="A4119" s="1569"/>
      <c r="B4119" s="107"/>
      <c r="C4119" s="654"/>
      <c r="D4119" s="654"/>
      <c r="E4119" s="256"/>
      <c r="H4119" s="231">
        <f t="shared" si="128"/>
        <v>0</v>
      </c>
      <c r="I4119" s="231">
        <f t="shared" si="129"/>
        <v>0</v>
      </c>
    </row>
    <row r="4120" spans="1:9" hidden="1">
      <c r="A4120" s="1569"/>
      <c r="B4120" s="116"/>
      <c r="C4120" s="679"/>
      <c r="D4120" s="679"/>
      <c r="E4120" s="256"/>
      <c r="H4120" s="231">
        <f t="shared" si="128"/>
        <v>0</v>
      </c>
      <c r="I4120" s="231">
        <f t="shared" si="129"/>
        <v>0</v>
      </c>
    </row>
    <row r="4121" spans="1:9" hidden="1">
      <c r="A4121" s="1569"/>
      <c r="B4121" s="107"/>
      <c r="C4121" s="654"/>
      <c r="D4121" s="654"/>
      <c r="E4121" s="256"/>
      <c r="H4121" s="231">
        <f t="shared" si="128"/>
        <v>0</v>
      </c>
      <c r="I4121" s="231">
        <f t="shared" si="129"/>
        <v>0</v>
      </c>
    </row>
    <row r="4122" spans="1:9" hidden="1">
      <c r="A4122" s="1569"/>
      <c r="B4122" s="107"/>
      <c r="C4122" s="654"/>
      <c r="D4122" s="654"/>
      <c r="E4122" s="256"/>
      <c r="H4122" s="231">
        <f t="shared" si="128"/>
        <v>0</v>
      </c>
      <c r="I4122" s="231">
        <f t="shared" si="129"/>
        <v>0</v>
      </c>
    </row>
    <row r="4123" spans="1:9" hidden="1">
      <c r="A4123" s="1569"/>
      <c r="B4123" s="107"/>
      <c r="C4123" s="654"/>
      <c r="D4123" s="654"/>
      <c r="E4123" s="256"/>
      <c r="H4123" s="231">
        <f t="shared" si="128"/>
        <v>0</v>
      </c>
      <c r="I4123" s="231">
        <f t="shared" si="129"/>
        <v>0</v>
      </c>
    </row>
    <row r="4124" spans="1:9" hidden="1">
      <c r="A4124" s="1569"/>
      <c r="B4124" s="107"/>
      <c r="C4124" s="654"/>
      <c r="D4124" s="654"/>
      <c r="E4124" s="256"/>
      <c r="H4124" s="231">
        <f t="shared" si="128"/>
        <v>0</v>
      </c>
      <c r="I4124" s="231">
        <f t="shared" si="129"/>
        <v>0</v>
      </c>
    </row>
    <row r="4125" spans="1:9" hidden="1">
      <c r="A4125" s="1569"/>
      <c r="B4125" s="107"/>
      <c r="C4125" s="654"/>
      <c r="D4125" s="654"/>
      <c r="E4125" s="256"/>
      <c r="H4125" s="231">
        <f t="shared" si="128"/>
        <v>0</v>
      </c>
      <c r="I4125" s="231">
        <f t="shared" si="129"/>
        <v>0</v>
      </c>
    </row>
    <row r="4126" spans="1:9" hidden="1">
      <c r="A4126" s="1569"/>
      <c r="B4126" s="107"/>
      <c r="C4126" s="654"/>
      <c r="D4126" s="654"/>
      <c r="E4126" s="256"/>
      <c r="H4126" s="231">
        <f t="shared" si="128"/>
        <v>0</v>
      </c>
      <c r="I4126" s="231">
        <f t="shared" si="129"/>
        <v>0</v>
      </c>
    </row>
    <row r="4127" spans="1:9" hidden="1">
      <c r="A4127" s="1569"/>
      <c r="B4127" s="107"/>
      <c r="C4127" s="654"/>
      <c r="D4127" s="654"/>
      <c r="E4127" s="256"/>
      <c r="H4127" s="231">
        <f t="shared" si="128"/>
        <v>0</v>
      </c>
      <c r="I4127" s="231">
        <f t="shared" si="129"/>
        <v>0</v>
      </c>
    </row>
    <row r="4128" spans="1:9" hidden="1">
      <c r="A4128" s="1569"/>
      <c r="B4128" s="107"/>
      <c r="C4128" s="654"/>
      <c r="D4128" s="654"/>
      <c r="E4128" s="256"/>
      <c r="H4128" s="231">
        <f t="shared" si="128"/>
        <v>0</v>
      </c>
      <c r="I4128" s="231">
        <f t="shared" si="129"/>
        <v>0</v>
      </c>
    </row>
    <row r="4129" spans="1:12" hidden="1">
      <c r="A4129" s="1569"/>
      <c r="B4129" s="107"/>
      <c r="C4129" s="654"/>
      <c r="D4129" s="654"/>
      <c r="E4129" s="256"/>
      <c r="H4129" s="231">
        <f t="shared" si="128"/>
        <v>0</v>
      </c>
      <c r="I4129" s="231">
        <f t="shared" si="129"/>
        <v>0</v>
      </c>
    </row>
    <row r="4130" spans="1:12" hidden="1">
      <c r="A4130" s="1569"/>
      <c r="B4130" s="107"/>
      <c r="C4130" s="654"/>
      <c r="D4130" s="654"/>
      <c r="E4130" s="256"/>
      <c r="H4130" s="231">
        <f t="shared" si="128"/>
        <v>0</v>
      </c>
      <c r="I4130" s="231">
        <f t="shared" si="129"/>
        <v>0</v>
      </c>
    </row>
    <row r="4131" spans="1:12" hidden="1">
      <c r="A4131" s="1569"/>
      <c r="B4131" s="107"/>
      <c r="C4131" s="654"/>
      <c r="D4131" s="654"/>
      <c r="E4131" s="256"/>
      <c r="H4131" s="231">
        <f t="shared" si="128"/>
        <v>0</v>
      </c>
      <c r="I4131" s="231">
        <f t="shared" si="129"/>
        <v>0</v>
      </c>
    </row>
    <row r="4132" spans="1:12" hidden="1">
      <c r="A4132" s="1569"/>
      <c r="B4132" s="107"/>
      <c r="C4132" s="654"/>
      <c r="D4132" s="654"/>
      <c r="E4132" s="256"/>
      <c r="H4132" s="231">
        <f t="shared" si="128"/>
        <v>0</v>
      </c>
      <c r="I4132" s="231">
        <f t="shared" si="129"/>
        <v>0</v>
      </c>
    </row>
    <row r="4133" spans="1:12" hidden="1">
      <c r="A4133" s="1569"/>
      <c r="B4133" s="107"/>
      <c r="C4133" s="654"/>
      <c r="D4133" s="654"/>
      <c r="E4133" s="256"/>
      <c r="H4133" s="231">
        <f t="shared" si="128"/>
        <v>0</v>
      </c>
      <c r="I4133" s="231">
        <f t="shared" si="129"/>
        <v>0</v>
      </c>
    </row>
    <row r="4134" spans="1:12" hidden="1">
      <c r="A4134" s="1569"/>
      <c r="B4134" s="107"/>
      <c r="C4134" s="654"/>
      <c r="D4134" s="654"/>
      <c r="E4134" s="256"/>
      <c r="H4134" s="231">
        <f t="shared" si="128"/>
        <v>0</v>
      </c>
      <c r="I4134" s="231">
        <f t="shared" si="129"/>
        <v>0</v>
      </c>
    </row>
    <row r="4135" spans="1:12" hidden="1">
      <c r="A4135" s="1569"/>
      <c r="B4135" s="107"/>
      <c r="C4135" s="654"/>
      <c r="D4135" s="654"/>
      <c r="E4135" s="256"/>
      <c r="H4135" s="231">
        <f t="shared" si="128"/>
        <v>0</v>
      </c>
      <c r="I4135" s="231">
        <f t="shared" si="129"/>
        <v>0</v>
      </c>
    </row>
    <row r="4136" spans="1:12" hidden="1">
      <c r="A4136" s="1569"/>
      <c r="B4136" s="107"/>
      <c r="C4136" s="654"/>
      <c r="D4136" s="654"/>
      <c r="E4136" s="256"/>
      <c r="H4136" s="231">
        <f t="shared" si="128"/>
        <v>0</v>
      </c>
      <c r="I4136" s="231">
        <f t="shared" si="129"/>
        <v>0</v>
      </c>
    </row>
    <row r="4137" spans="1:12" hidden="1">
      <c r="A4137" s="1569"/>
      <c r="B4137" s="107"/>
      <c r="C4137" s="654"/>
      <c r="D4137" s="654"/>
      <c r="E4137" s="256"/>
      <c r="H4137" s="231">
        <f t="shared" si="128"/>
        <v>0</v>
      </c>
      <c r="I4137" s="231">
        <f t="shared" si="129"/>
        <v>0</v>
      </c>
    </row>
    <row r="4138" spans="1:12" hidden="1">
      <c r="A4138" s="1569"/>
      <c r="B4138" s="107"/>
      <c r="C4138" s="654"/>
      <c r="D4138" s="654"/>
      <c r="E4138" s="256"/>
      <c r="H4138" s="231">
        <f t="shared" si="128"/>
        <v>0</v>
      </c>
      <c r="I4138" s="231">
        <f t="shared" si="129"/>
        <v>0</v>
      </c>
    </row>
    <row r="4139" spans="1:12" hidden="1">
      <c r="A4139" s="1569"/>
      <c r="B4139" s="107"/>
      <c r="C4139" s="654"/>
      <c r="D4139" s="654"/>
      <c r="E4139" s="256"/>
      <c r="H4139" s="231">
        <f t="shared" si="128"/>
        <v>0</v>
      </c>
      <c r="I4139" s="231">
        <f t="shared" si="129"/>
        <v>0</v>
      </c>
    </row>
    <row r="4140" spans="1:12" hidden="1">
      <c r="A4140" s="1659"/>
      <c r="B4140" s="209" t="s">
        <v>985</v>
      </c>
      <c r="C4140" s="735">
        <f>SUM(C4106:C4139)</f>
        <v>0</v>
      </c>
      <c r="D4140" s="735">
        <f>SUM(D4106:D4139)</f>
        <v>0</v>
      </c>
      <c r="E4140" s="735">
        <f>SUM(E4106:E4139)</f>
        <v>0</v>
      </c>
      <c r="H4140" s="231">
        <f t="shared" si="128"/>
        <v>0</v>
      </c>
      <c r="I4140" s="231">
        <f t="shared" si="129"/>
        <v>0</v>
      </c>
    </row>
    <row r="4141" spans="1:12" ht="56.25">
      <c r="A4141" s="1568" t="s">
        <v>1134</v>
      </c>
      <c r="B4141" s="1215" t="s">
        <v>1441</v>
      </c>
      <c r="C4141" s="1214">
        <v>77000</v>
      </c>
      <c r="D4141" s="256">
        <v>11550</v>
      </c>
      <c r="E4141" s="256">
        <v>65450</v>
      </c>
      <c r="H4141" s="1497">
        <f t="shared" si="128"/>
        <v>0</v>
      </c>
      <c r="I4141" s="1497">
        <f t="shared" si="129"/>
        <v>154000</v>
      </c>
      <c r="J4141" s="1440"/>
      <c r="K4141" s="1490"/>
      <c r="L4141" s="1490"/>
    </row>
    <row r="4142" spans="1:12" ht="56.25">
      <c r="A4142" s="1569"/>
      <c r="B4142" s="1215" t="s">
        <v>1442</v>
      </c>
      <c r="C4142" s="1214">
        <v>122000</v>
      </c>
      <c r="D4142" s="256">
        <v>18300</v>
      </c>
      <c r="E4142" s="256">
        <v>103700</v>
      </c>
      <c r="H4142" s="1497">
        <f t="shared" si="128"/>
        <v>0</v>
      </c>
      <c r="I4142" s="1497">
        <f t="shared" si="129"/>
        <v>244000</v>
      </c>
      <c r="J4142" s="1440"/>
      <c r="K4142" s="1490"/>
      <c r="L4142" s="1490"/>
    </row>
    <row r="4143" spans="1:12" ht="56.25">
      <c r="A4143" s="1569"/>
      <c r="B4143" s="107" t="s">
        <v>1889</v>
      </c>
      <c r="C4143" s="649">
        <v>195000</v>
      </c>
      <c r="D4143" s="649"/>
      <c r="E4143" s="256">
        <v>195000</v>
      </c>
      <c r="H4143" s="1497">
        <f t="shared" si="128"/>
        <v>0</v>
      </c>
      <c r="I4143" s="1497">
        <f t="shared" si="129"/>
        <v>390000</v>
      </c>
      <c r="J4143" s="1440"/>
      <c r="K4143" s="1490"/>
      <c r="L4143" s="1490"/>
    </row>
    <row r="4144" spans="1:12" ht="37.5">
      <c r="A4144" s="1569"/>
      <c r="B4144" s="107" t="s">
        <v>2146</v>
      </c>
      <c r="C4144" s="649">
        <v>10000</v>
      </c>
      <c r="D4144" s="649">
        <v>10000</v>
      </c>
      <c r="E4144" s="184"/>
      <c r="H4144" s="1497">
        <f t="shared" si="128"/>
        <v>0</v>
      </c>
      <c r="I4144" s="1497">
        <f t="shared" si="129"/>
        <v>20000</v>
      </c>
      <c r="J4144" s="1440"/>
      <c r="K4144" s="1490"/>
      <c r="L4144" s="1490"/>
    </row>
    <row r="4145" spans="1:9" hidden="1">
      <c r="A4145" s="1569"/>
      <c r="B4145" s="107"/>
      <c r="C4145" s="654"/>
      <c r="D4145" s="654"/>
      <c r="E4145" s="654"/>
      <c r="H4145" s="231">
        <f t="shared" si="128"/>
        <v>0</v>
      </c>
      <c r="I4145" s="231">
        <f t="shared" si="129"/>
        <v>0</v>
      </c>
    </row>
    <row r="4146" spans="1:9" hidden="1">
      <c r="A4146" s="1569"/>
      <c r="B4146" s="116"/>
      <c r="C4146" s="679"/>
      <c r="D4146" s="679"/>
      <c r="E4146" s="679"/>
      <c r="H4146" s="231">
        <f t="shared" si="128"/>
        <v>0</v>
      </c>
      <c r="I4146" s="231">
        <f t="shared" si="129"/>
        <v>0</v>
      </c>
    </row>
    <row r="4147" spans="1:9" hidden="1">
      <c r="A4147" s="1569"/>
      <c r="B4147" s="116"/>
      <c r="C4147" s="679"/>
      <c r="D4147" s="679"/>
      <c r="E4147" s="654"/>
      <c r="H4147" s="231">
        <f t="shared" si="128"/>
        <v>0</v>
      </c>
      <c r="I4147" s="231">
        <f t="shared" si="129"/>
        <v>0</v>
      </c>
    </row>
    <row r="4148" spans="1:9" hidden="1">
      <c r="A4148" s="1569"/>
      <c r="B4148" s="107"/>
      <c r="C4148" s="654"/>
      <c r="D4148" s="654"/>
      <c r="E4148" s="654"/>
      <c r="H4148" s="231">
        <f t="shared" si="128"/>
        <v>0</v>
      </c>
      <c r="I4148" s="231">
        <f t="shared" si="129"/>
        <v>0</v>
      </c>
    </row>
    <row r="4149" spans="1:9" hidden="1">
      <c r="A4149" s="1569"/>
      <c r="B4149" s="107"/>
      <c r="C4149" s="654"/>
      <c r="D4149" s="654"/>
      <c r="E4149" s="256"/>
      <c r="H4149" s="231">
        <f t="shared" si="128"/>
        <v>0</v>
      </c>
      <c r="I4149" s="231">
        <f t="shared" si="129"/>
        <v>0</v>
      </c>
    </row>
    <row r="4150" spans="1:9" hidden="1">
      <c r="A4150" s="1569"/>
      <c r="B4150" s="107"/>
      <c r="C4150" s="654"/>
      <c r="D4150" s="654"/>
      <c r="E4150" s="256"/>
      <c r="H4150" s="231">
        <f t="shared" si="128"/>
        <v>0</v>
      </c>
      <c r="I4150" s="231">
        <f t="shared" si="129"/>
        <v>0</v>
      </c>
    </row>
    <row r="4151" spans="1:9" hidden="1">
      <c r="A4151" s="1569"/>
      <c r="B4151" s="107"/>
      <c r="C4151" s="654"/>
      <c r="D4151" s="654"/>
      <c r="E4151" s="256"/>
      <c r="H4151" s="231">
        <f t="shared" si="128"/>
        <v>0</v>
      </c>
      <c r="I4151" s="231">
        <f t="shared" si="129"/>
        <v>0</v>
      </c>
    </row>
    <row r="4152" spans="1:9" hidden="1">
      <c r="A4152" s="1569"/>
      <c r="B4152" s="107"/>
      <c r="C4152" s="654"/>
      <c r="D4152" s="654"/>
      <c r="E4152" s="256"/>
      <c r="H4152" s="231">
        <f t="shared" si="128"/>
        <v>0</v>
      </c>
      <c r="I4152" s="231">
        <f t="shared" si="129"/>
        <v>0</v>
      </c>
    </row>
    <row r="4153" spans="1:9" hidden="1">
      <c r="A4153" s="1569"/>
      <c r="B4153" s="116"/>
      <c r="C4153" s="679"/>
      <c r="D4153" s="679"/>
      <c r="E4153" s="256"/>
      <c r="H4153" s="231">
        <f t="shared" si="128"/>
        <v>0</v>
      </c>
      <c r="I4153" s="231">
        <f t="shared" si="129"/>
        <v>0</v>
      </c>
    </row>
    <row r="4154" spans="1:9" hidden="1">
      <c r="A4154" s="1569"/>
      <c r="B4154" s="107"/>
      <c r="C4154" s="654"/>
      <c r="D4154" s="654"/>
      <c r="E4154" s="256"/>
      <c r="H4154" s="231">
        <f t="shared" si="128"/>
        <v>0</v>
      </c>
      <c r="I4154" s="231">
        <f t="shared" si="129"/>
        <v>0</v>
      </c>
    </row>
    <row r="4155" spans="1:9" hidden="1">
      <c r="A4155" s="1569"/>
      <c r="B4155" s="107"/>
      <c r="C4155" s="654"/>
      <c r="D4155" s="654"/>
      <c r="E4155" s="256"/>
      <c r="H4155" s="231">
        <f t="shared" si="128"/>
        <v>0</v>
      </c>
      <c r="I4155" s="231">
        <f t="shared" si="129"/>
        <v>0</v>
      </c>
    </row>
    <row r="4156" spans="1:9" hidden="1">
      <c r="A4156" s="1569"/>
      <c r="B4156" s="107"/>
      <c r="C4156" s="654"/>
      <c r="D4156" s="654"/>
      <c r="E4156" s="256"/>
      <c r="H4156" s="231">
        <f t="shared" si="128"/>
        <v>0</v>
      </c>
      <c r="I4156" s="231">
        <f t="shared" si="129"/>
        <v>0</v>
      </c>
    </row>
    <row r="4157" spans="1:9" hidden="1">
      <c r="A4157" s="1569"/>
      <c r="B4157" s="107"/>
      <c r="C4157" s="654"/>
      <c r="D4157" s="654"/>
      <c r="E4157" s="256"/>
      <c r="H4157" s="231">
        <f t="shared" si="128"/>
        <v>0</v>
      </c>
      <c r="I4157" s="231">
        <f t="shared" si="129"/>
        <v>0</v>
      </c>
    </row>
    <row r="4158" spans="1:9" hidden="1">
      <c r="A4158" s="1569"/>
      <c r="B4158" s="107"/>
      <c r="C4158" s="654"/>
      <c r="D4158" s="654"/>
      <c r="E4158" s="256"/>
      <c r="H4158" s="231">
        <f t="shared" si="128"/>
        <v>0</v>
      </c>
      <c r="I4158" s="231">
        <f t="shared" si="129"/>
        <v>0</v>
      </c>
    </row>
    <row r="4159" spans="1:9" hidden="1">
      <c r="A4159" s="1569"/>
      <c r="B4159" s="107"/>
      <c r="C4159" s="654"/>
      <c r="D4159" s="654"/>
      <c r="E4159" s="256"/>
      <c r="H4159" s="231">
        <f t="shared" si="128"/>
        <v>0</v>
      </c>
      <c r="I4159" s="231">
        <f t="shared" si="129"/>
        <v>0</v>
      </c>
    </row>
    <row r="4160" spans="1:9" hidden="1">
      <c r="A4160" s="1569"/>
      <c r="B4160" s="107"/>
      <c r="C4160" s="654"/>
      <c r="D4160" s="654"/>
      <c r="E4160" s="256"/>
      <c r="H4160" s="231">
        <f t="shared" si="128"/>
        <v>0</v>
      </c>
      <c r="I4160" s="231">
        <f t="shared" si="129"/>
        <v>0</v>
      </c>
    </row>
    <row r="4161" spans="1:12" hidden="1">
      <c r="A4161" s="1569"/>
      <c r="B4161" s="107"/>
      <c r="C4161" s="654"/>
      <c r="D4161" s="654"/>
      <c r="E4161" s="256"/>
      <c r="H4161" s="231">
        <f t="shared" si="128"/>
        <v>0</v>
      </c>
      <c r="I4161" s="231">
        <f t="shared" si="129"/>
        <v>0</v>
      </c>
    </row>
    <row r="4162" spans="1:12" hidden="1">
      <c r="A4162" s="1569"/>
      <c r="B4162" s="107"/>
      <c r="C4162" s="654"/>
      <c r="D4162" s="654"/>
      <c r="E4162" s="256"/>
      <c r="H4162" s="231">
        <f t="shared" si="128"/>
        <v>0</v>
      </c>
      <c r="I4162" s="231">
        <f t="shared" si="129"/>
        <v>0</v>
      </c>
    </row>
    <row r="4163" spans="1:12" hidden="1">
      <c r="A4163" s="1569"/>
      <c r="B4163" s="107"/>
      <c r="C4163" s="654"/>
      <c r="D4163" s="654"/>
      <c r="E4163" s="256"/>
      <c r="H4163" s="231">
        <f t="shared" si="128"/>
        <v>0</v>
      </c>
      <c r="I4163" s="231">
        <f t="shared" si="129"/>
        <v>0</v>
      </c>
    </row>
    <row r="4164" spans="1:12" hidden="1">
      <c r="A4164" s="1569"/>
      <c r="B4164" s="107"/>
      <c r="C4164" s="654"/>
      <c r="D4164" s="654"/>
      <c r="E4164" s="256"/>
      <c r="H4164" s="231">
        <f t="shared" si="128"/>
        <v>0</v>
      </c>
      <c r="I4164" s="231">
        <f t="shared" si="129"/>
        <v>0</v>
      </c>
    </row>
    <row r="4165" spans="1:12" hidden="1">
      <c r="A4165" s="1569"/>
      <c r="B4165" s="107"/>
      <c r="C4165" s="654"/>
      <c r="D4165" s="654"/>
      <c r="E4165" s="256"/>
      <c r="H4165" s="231">
        <f t="shared" si="128"/>
        <v>0</v>
      </c>
      <c r="I4165" s="231">
        <f t="shared" si="129"/>
        <v>0</v>
      </c>
    </row>
    <row r="4166" spans="1:12" hidden="1">
      <c r="A4166" s="1569"/>
      <c r="B4166" s="107"/>
      <c r="C4166" s="654"/>
      <c r="D4166" s="654"/>
      <c r="E4166" s="256"/>
      <c r="H4166" s="231">
        <f t="shared" si="128"/>
        <v>0</v>
      </c>
      <c r="I4166" s="231">
        <f t="shared" si="129"/>
        <v>0</v>
      </c>
    </row>
    <row r="4167" spans="1:12" hidden="1">
      <c r="A4167" s="1569"/>
      <c r="B4167" s="107"/>
      <c r="C4167" s="654"/>
      <c r="D4167" s="654"/>
      <c r="E4167" s="256"/>
      <c r="H4167" s="231">
        <f t="shared" ref="H4167:H4230" si="130">E4167+D4167-C4167</f>
        <v>0</v>
      </c>
      <c r="I4167" s="231">
        <f t="shared" si="129"/>
        <v>0</v>
      </c>
    </row>
    <row r="4168" spans="1:12" hidden="1">
      <c r="A4168" s="1569"/>
      <c r="B4168" s="107"/>
      <c r="C4168" s="654"/>
      <c r="D4168" s="654"/>
      <c r="E4168" s="256"/>
      <c r="H4168" s="231">
        <f t="shared" si="130"/>
        <v>0</v>
      </c>
      <c r="I4168" s="231">
        <f t="shared" si="129"/>
        <v>0</v>
      </c>
    </row>
    <row r="4169" spans="1:12" hidden="1">
      <c r="A4169" s="1569"/>
      <c r="B4169" s="107"/>
      <c r="C4169" s="654"/>
      <c r="D4169" s="654"/>
      <c r="E4169" s="256"/>
      <c r="H4169" s="231">
        <f t="shared" si="130"/>
        <v>0</v>
      </c>
      <c r="I4169" s="231">
        <f t="shared" ref="I4169:I4232" si="131">SUM(C4169:E4169)</f>
        <v>0</v>
      </c>
    </row>
    <row r="4170" spans="1:12" hidden="1">
      <c r="A4170" s="1569"/>
      <c r="B4170" s="107"/>
      <c r="C4170" s="654"/>
      <c r="D4170" s="654"/>
      <c r="E4170" s="256"/>
      <c r="H4170" s="231">
        <f t="shared" si="130"/>
        <v>0</v>
      </c>
      <c r="I4170" s="231">
        <f t="shared" si="131"/>
        <v>0</v>
      </c>
    </row>
    <row r="4171" spans="1:12" hidden="1">
      <c r="A4171" s="1569"/>
      <c r="B4171" s="107"/>
      <c r="C4171" s="654"/>
      <c r="D4171" s="654"/>
      <c r="E4171" s="256"/>
      <c r="H4171" s="231">
        <f t="shared" si="130"/>
        <v>0</v>
      </c>
      <c r="I4171" s="231">
        <f t="shared" si="131"/>
        <v>0</v>
      </c>
    </row>
    <row r="4172" spans="1:12" hidden="1">
      <c r="A4172" s="1569"/>
      <c r="B4172" s="107"/>
      <c r="C4172" s="654"/>
      <c r="D4172" s="654"/>
      <c r="E4172" s="256"/>
      <c r="H4172" s="231">
        <f t="shared" si="130"/>
        <v>0</v>
      </c>
      <c r="I4172" s="231">
        <f t="shared" si="131"/>
        <v>0</v>
      </c>
    </row>
    <row r="4173" spans="1:12">
      <c r="A4173" s="1659"/>
      <c r="B4173" s="209" t="s">
        <v>985</v>
      </c>
      <c r="C4173" s="735">
        <f>SUM(C4141:C4172)</f>
        <v>404000</v>
      </c>
      <c r="D4173" s="735">
        <f>SUM(D4141:D4172)</f>
        <v>39850</v>
      </c>
      <c r="E4173" s="735">
        <f>SUM(E4141:E4172)</f>
        <v>364150</v>
      </c>
      <c r="H4173" s="1497">
        <f t="shared" si="130"/>
        <v>0</v>
      </c>
      <c r="I4173" s="1497">
        <f t="shared" si="131"/>
        <v>808000</v>
      </c>
      <c r="J4173" s="1440"/>
      <c r="K4173" s="1490"/>
      <c r="L4173" s="1490"/>
    </row>
    <row r="4174" spans="1:12" ht="47.25">
      <c r="A4174" s="1568" t="s">
        <v>1135</v>
      </c>
      <c r="B4174" s="1224" t="s">
        <v>1454</v>
      </c>
      <c r="C4174" s="1214">
        <v>690000</v>
      </c>
      <c r="D4174" s="256"/>
      <c r="E4174" s="256">
        <v>690000</v>
      </c>
      <c r="H4174" s="1497">
        <f t="shared" si="130"/>
        <v>0</v>
      </c>
      <c r="I4174" s="1497">
        <f t="shared" si="131"/>
        <v>1380000</v>
      </c>
      <c r="J4174" s="1440"/>
      <c r="K4174" s="1490"/>
      <c r="L4174" s="1490"/>
    </row>
    <row r="4175" spans="1:12" hidden="1">
      <c r="A4175" s="1569"/>
      <c r="B4175" s="371"/>
      <c r="C4175" s="865"/>
      <c r="D4175" s="886"/>
      <c r="E4175" s="887"/>
      <c r="H4175" s="231">
        <f t="shared" si="130"/>
        <v>0</v>
      </c>
      <c r="I4175" s="231">
        <f t="shared" si="131"/>
        <v>0</v>
      </c>
    </row>
    <row r="4176" spans="1:12" hidden="1">
      <c r="A4176" s="1569"/>
      <c r="B4176" s="181"/>
      <c r="C4176" s="654"/>
      <c r="D4176" s="654"/>
      <c r="E4176" s="655"/>
      <c r="H4176" s="231">
        <f t="shared" si="130"/>
        <v>0</v>
      </c>
      <c r="I4176" s="231">
        <f t="shared" si="131"/>
        <v>0</v>
      </c>
    </row>
    <row r="4177" spans="1:9" hidden="1">
      <c r="A4177" s="1569"/>
      <c r="B4177" s="181"/>
      <c r="C4177" s="654"/>
      <c r="D4177" s="654"/>
      <c r="E4177" s="655"/>
      <c r="H4177" s="231">
        <f t="shared" si="130"/>
        <v>0</v>
      </c>
      <c r="I4177" s="231">
        <f t="shared" si="131"/>
        <v>0</v>
      </c>
    </row>
    <row r="4178" spans="1:9" hidden="1">
      <c r="A4178" s="1569"/>
      <c r="B4178" s="107"/>
      <c r="C4178" s="654"/>
      <c r="D4178" s="654"/>
      <c r="E4178" s="654"/>
      <c r="H4178" s="231">
        <f t="shared" si="130"/>
        <v>0</v>
      </c>
      <c r="I4178" s="231">
        <f t="shared" si="131"/>
        <v>0</v>
      </c>
    </row>
    <row r="4179" spans="1:9" hidden="1">
      <c r="A4179" s="1569"/>
      <c r="B4179" s="116"/>
      <c r="C4179" s="679"/>
      <c r="D4179" s="679"/>
      <c r="E4179" s="654"/>
      <c r="H4179" s="231">
        <f t="shared" si="130"/>
        <v>0</v>
      </c>
      <c r="I4179" s="231">
        <f t="shared" si="131"/>
        <v>0</v>
      </c>
    </row>
    <row r="4180" spans="1:9" hidden="1">
      <c r="A4180" s="1569"/>
      <c r="B4180" s="107"/>
      <c r="C4180" s="654"/>
      <c r="D4180" s="654"/>
      <c r="E4180" s="654"/>
      <c r="H4180" s="231">
        <f t="shared" si="130"/>
        <v>0</v>
      </c>
      <c r="I4180" s="231">
        <f t="shared" si="131"/>
        <v>0</v>
      </c>
    </row>
    <row r="4181" spans="1:9" hidden="1">
      <c r="A4181" s="1569"/>
      <c r="B4181" s="116"/>
      <c r="C4181" s="679"/>
      <c r="D4181" s="679"/>
      <c r="E4181" s="679"/>
      <c r="H4181" s="231">
        <f t="shared" si="130"/>
        <v>0</v>
      </c>
      <c r="I4181" s="231">
        <f t="shared" si="131"/>
        <v>0</v>
      </c>
    </row>
    <row r="4182" spans="1:9" hidden="1">
      <c r="A4182" s="1569"/>
      <c r="B4182" s="116"/>
      <c r="C4182" s="679"/>
      <c r="D4182" s="679"/>
      <c r="E4182" s="654"/>
      <c r="H4182" s="231">
        <f t="shared" si="130"/>
        <v>0</v>
      </c>
      <c r="I4182" s="231">
        <f t="shared" si="131"/>
        <v>0</v>
      </c>
    </row>
    <row r="4183" spans="1:9" hidden="1">
      <c r="A4183" s="1569"/>
      <c r="B4183" s="107"/>
      <c r="C4183" s="654"/>
      <c r="D4183" s="654"/>
      <c r="E4183" s="654"/>
      <c r="H4183" s="231">
        <f t="shared" si="130"/>
        <v>0</v>
      </c>
      <c r="I4183" s="231">
        <f t="shared" si="131"/>
        <v>0</v>
      </c>
    </row>
    <row r="4184" spans="1:9" hidden="1">
      <c r="A4184" s="1569"/>
      <c r="B4184" s="107"/>
      <c r="C4184" s="654"/>
      <c r="D4184" s="654"/>
      <c r="E4184" s="256"/>
      <c r="H4184" s="231">
        <f t="shared" si="130"/>
        <v>0</v>
      </c>
      <c r="I4184" s="231">
        <f t="shared" si="131"/>
        <v>0</v>
      </c>
    </row>
    <row r="4185" spans="1:9" hidden="1">
      <c r="A4185" s="1569"/>
      <c r="B4185" s="107"/>
      <c r="C4185" s="654"/>
      <c r="D4185" s="654"/>
      <c r="E4185" s="256"/>
      <c r="H4185" s="231">
        <f t="shared" si="130"/>
        <v>0</v>
      </c>
      <c r="I4185" s="231">
        <f t="shared" si="131"/>
        <v>0</v>
      </c>
    </row>
    <row r="4186" spans="1:9" hidden="1">
      <c r="A4186" s="1569"/>
      <c r="B4186" s="107"/>
      <c r="C4186" s="654"/>
      <c r="D4186" s="654"/>
      <c r="E4186" s="256"/>
      <c r="H4186" s="231">
        <f t="shared" si="130"/>
        <v>0</v>
      </c>
      <c r="I4186" s="231">
        <f t="shared" si="131"/>
        <v>0</v>
      </c>
    </row>
    <row r="4187" spans="1:9" hidden="1">
      <c r="A4187" s="1569"/>
      <c r="B4187" s="107"/>
      <c r="C4187" s="654"/>
      <c r="D4187" s="654"/>
      <c r="E4187" s="256"/>
      <c r="H4187" s="231">
        <f t="shared" si="130"/>
        <v>0</v>
      </c>
      <c r="I4187" s="231">
        <f t="shared" si="131"/>
        <v>0</v>
      </c>
    </row>
    <row r="4188" spans="1:9" hidden="1">
      <c r="A4188" s="1569"/>
      <c r="B4188" s="116"/>
      <c r="C4188" s="679"/>
      <c r="D4188" s="679"/>
      <c r="E4188" s="256"/>
      <c r="H4188" s="231">
        <f t="shared" si="130"/>
        <v>0</v>
      </c>
      <c r="I4188" s="231">
        <f t="shared" si="131"/>
        <v>0</v>
      </c>
    </row>
    <row r="4189" spans="1:9" hidden="1">
      <c r="A4189" s="1569"/>
      <c r="B4189" s="107"/>
      <c r="C4189" s="654"/>
      <c r="D4189" s="654"/>
      <c r="E4189" s="256"/>
      <c r="H4189" s="231">
        <f t="shared" si="130"/>
        <v>0</v>
      </c>
      <c r="I4189" s="231">
        <f t="shared" si="131"/>
        <v>0</v>
      </c>
    </row>
    <row r="4190" spans="1:9" hidden="1">
      <c r="A4190" s="1569"/>
      <c r="B4190" s="107"/>
      <c r="C4190" s="654"/>
      <c r="D4190" s="654"/>
      <c r="E4190" s="256"/>
      <c r="H4190" s="231">
        <f t="shared" si="130"/>
        <v>0</v>
      </c>
      <c r="I4190" s="231">
        <f t="shared" si="131"/>
        <v>0</v>
      </c>
    </row>
    <row r="4191" spans="1:9" hidden="1">
      <c r="A4191" s="1569"/>
      <c r="B4191" s="107"/>
      <c r="C4191" s="654"/>
      <c r="D4191" s="654"/>
      <c r="E4191" s="256"/>
      <c r="H4191" s="231">
        <f t="shared" si="130"/>
        <v>0</v>
      </c>
      <c r="I4191" s="231">
        <f t="shared" si="131"/>
        <v>0</v>
      </c>
    </row>
    <row r="4192" spans="1:9" hidden="1">
      <c r="A4192" s="1569"/>
      <c r="B4192" s="107"/>
      <c r="C4192" s="654"/>
      <c r="D4192" s="654"/>
      <c r="E4192" s="256"/>
      <c r="H4192" s="231">
        <f t="shared" si="130"/>
        <v>0</v>
      </c>
      <c r="I4192" s="231">
        <f t="shared" si="131"/>
        <v>0</v>
      </c>
    </row>
    <row r="4193" spans="1:12" hidden="1">
      <c r="A4193" s="1569"/>
      <c r="B4193" s="107"/>
      <c r="C4193" s="654"/>
      <c r="D4193" s="654"/>
      <c r="E4193" s="256"/>
      <c r="H4193" s="231">
        <f t="shared" si="130"/>
        <v>0</v>
      </c>
      <c r="I4193" s="231">
        <f t="shared" si="131"/>
        <v>0</v>
      </c>
    </row>
    <row r="4194" spans="1:12" hidden="1">
      <c r="A4194" s="1569"/>
      <c r="B4194" s="107"/>
      <c r="C4194" s="654"/>
      <c r="D4194" s="654"/>
      <c r="E4194" s="256"/>
      <c r="H4194" s="231">
        <f t="shared" si="130"/>
        <v>0</v>
      </c>
      <c r="I4194" s="231">
        <f t="shared" si="131"/>
        <v>0</v>
      </c>
    </row>
    <row r="4195" spans="1:12" hidden="1">
      <c r="A4195" s="1569"/>
      <c r="B4195" s="107"/>
      <c r="C4195" s="654"/>
      <c r="D4195" s="654"/>
      <c r="E4195" s="256"/>
      <c r="H4195" s="231">
        <f t="shared" si="130"/>
        <v>0</v>
      </c>
      <c r="I4195" s="231">
        <f t="shared" si="131"/>
        <v>0</v>
      </c>
    </row>
    <row r="4196" spans="1:12" hidden="1">
      <c r="A4196" s="1569"/>
      <c r="B4196" s="107"/>
      <c r="C4196" s="654"/>
      <c r="D4196" s="654"/>
      <c r="E4196" s="256"/>
      <c r="H4196" s="231">
        <f t="shared" si="130"/>
        <v>0</v>
      </c>
      <c r="I4196" s="231">
        <f t="shared" si="131"/>
        <v>0</v>
      </c>
    </row>
    <row r="4197" spans="1:12" hidden="1">
      <c r="A4197" s="1569"/>
      <c r="B4197" s="107"/>
      <c r="C4197" s="654"/>
      <c r="D4197" s="654"/>
      <c r="E4197" s="256"/>
      <c r="H4197" s="231">
        <f t="shared" si="130"/>
        <v>0</v>
      </c>
      <c r="I4197" s="231">
        <f t="shared" si="131"/>
        <v>0</v>
      </c>
    </row>
    <row r="4198" spans="1:12" hidden="1">
      <c r="A4198" s="1569"/>
      <c r="B4198" s="107"/>
      <c r="C4198" s="654"/>
      <c r="D4198" s="654"/>
      <c r="E4198" s="256"/>
      <c r="H4198" s="231">
        <f t="shared" si="130"/>
        <v>0</v>
      </c>
      <c r="I4198" s="231">
        <f t="shared" si="131"/>
        <v>0</v>
      </c>
    </row>
    <row r="4199" spans="1:12" hidden="1">
      <c r="A4199" s="1569"/>
      <c r="B4199" s="107"/>
      <c r="C4199" s="654"/>
      <c r="D4199" s="654"/>
      <c r="E4199" s="256"/>
      <c r="H4199" s="231">
        <f t="shared" si="130"/>
        <v>0</v>
      </c>
      <c r="I4199" s="231">
        <f t="shared" si="131"/>
        <v>0</v>
      </c>
    </row>
    <row r="4200" spans="1:12" hidden="1">
      <c r="A4200" s="1569"/>
      <c r="B4200" s="107"/>
      <c r="C4200" s="654"/>
      <c r="D4200" s="654"/>
      <c r="E4200" s="256"/>
      <c r="H4200" s="231">
        <f t="shared" si="130"/>
        <v>0</v>
      </c>
      <c r="I4200" s="231">
        <f t="shared" si="131"/>
        <v>0</v>
      </c>
    </row>
    <row r="4201" spans="1:12" hidden="1">
      <c r="A4201" s="1569"/>
      <c r="B4201" s="107"/>
      <c r="C4201" s="654"/>
      <c r="D4201" s="654"/>
      <c r="E4201" s="256"/>
      <c r="H4201" s="231">
        <f t="shared" si="130"/>
        <v>0</v>
      </c>
      <c r="I4201" s="231">
        <f t="shared" si="131"/>
        <v>0</v>
      </c>
    </row>
    <row r="4202" spans="1:12" hidden="1">
      <c r="A4202" s="1569"/>
      <c r="B4202" s="107"/>
      <c r="C4202" s="654"/>
      <c r="D4202" s="654"/>
      <c r="E4202" s="256"/>
      <c r="H4202" s="231">
        <f t="shared" si="130"/>
        <v>0</v>
      </c>
      <c r="I4202" s="231">
        <f t="shared" si="131"/>
        <v>0</v>
      </c>
    </row>
    <row r="4203" spans="1:12" hidden="1">
      <c r="A4203" s="1569"/>
      <c r="B4203" s="107"/>
      <c r="C4203" s="654"/>
      <c r="D4203" s="654"/>
      <c r="E4203" s="256"/>
      <c r="H4203" s="231">
        <f t="shared" si="130"/>
        <v>0</v>
      </c>
      <c r="I4203" s="231">
        <f t="shared" si="131"/>
        <v>0</v>
      </c>
    </row>
    <row r="4204" spans="1:12" hidden="1">
      <c r="A4204" s="1569"/>
      <c r="B4204" s="107"/>
      <c r="C4204" s="654"/>
      <c r="D4204" s="654"/>
      <c r="E4204" s="256"/>
      <c r="H4204" s="231">
        <f t="shared" si="130"/>
        <v>0</v>
      </c>
      <c r="I4204" s="231">
        <f t="shared" si="131"/>
        <v>0</v>
      </c>
    </row>
    <row r="4205" spans="1:12" hidden="1">
      <c r="A4205" s="1569"/>
      <c r="B4205" s="107"/>
      <c r="C4205" s="654"/>
      <c r="D4205" s="654"/>
      <c r="E4205" s="256"/>
      <c r="H4205" s="231">
        <f t="shared" si="130"/>
        <v>0</v>
      </c>
      <c r="I4205" s="231">
        <f t="shared" si="131"/>
        <v>0</v>
      </c>
    </row>
    <row r="4206" spans="1:12" hidden="1">
      <c r="A4206" s="1569"/>
      <c r="B4206" s="107"/>
      <c r="C4206" s="654"/>
      <c r="D4206" s="654"/>
      <c r="E4206" s="256"/>
      <c r="H4206" s="231">
        <f t="shared" si="130"/>
        <v>0</v>
      </c>
      <c r="I4206" s="231">
        <f t="shared" si="131"/>
        <v>0</v>
      </c>
    </row>
    <row r="4207" spans="1:12" hidden="1">
      <c r="A4207" s="1569"/>
      <c r="B4207" s="107"/>
      <c r="C4207" s="654"/>
      <c r="D4207" s="654"/>
      <c r="E4207" s="256"/>
      <c r="H4207" s="231">
        <f t="shared" si="130"/>
        <v>0</v>
      </c>
      <c r="I4207" s="231">
        <f t="shared" si="131"/>
        <v>0</v>
      </c>
    </row>
    <row r="4208" spans="1:12" ht="38.450000000000003" customHeight="1">
      <c r="A4208" s="1659"/>
      <c r="B4208" s="209" t="s">
        <v>985</v>
      </c>
      <c r="C4208" s="735">
        <f>SUM(C4174:C4207)</f>
        <v>690000</v>
      </c>
      <c r="D4208" s="735">
        <f>SUM(D4174:D4207)</f>
        <v>0</v>
      </c>
      <c r="E4208" s="735">
        <f>SUM(E4174:E4207)</f>
        <v>690000</v>
      </c>
      <c r="H4208" s="1497">
        <f t="shared" si="130"/>
        <v>0</v>
      </c>
      <c r="I4208" s="1497">
        <f t="shared" si="131"/>
        <v>1380000</v>
      </c>
      <c r="J4208" s="1440"/>
      <c r="K4208" s="1490"/>
      <c r="L4208" s="1490"/>
    </row>
    <row r="4209" spans="1:12" ht="56.25">
      <c r="A4209" s="1568" t="s">
        <v>1136</v>
      </c>
      <c r="B4209" s="1215" t="s">
        <v>1450</v>
      </c>
      <c r="C4209" s="1214">
        <v>15000</v>
      </c>
      <c r="D4209" s="256"/>
      <c r="E4209" s="256">
        <v>15000</v>
      </c>
      <c r="H4209" s="1497">
        <f t="shared" si="130"/>
        <v>0</v>
      </c>
      <c r="I4209" s="1497">
        <f t="shared" si="131"/>
        <v>30000</v>
      </c>
      <c r="J4209" s="1440"/>
      <c r="K4209" s="1490"/>
      <c r="L4209" s="1490"/>
    </row>
    <row r="4210" spans="1:12" ht="93.75">
      <c r="A4210" s="1569"/>
      <c r="B4210" s="107" t="s">
        <v>1887</v>
      </c>
      <c r="C4210" s="649">
        <v>8000</v>
      </c>
      <c r="D4210" s="649">
        <v>8000</v>
      </c>
      <c r="E4210" s="184"/>
      <c r="H4210" s="1497">
        <f t="shared" si="130"/>
        <v>0</v>
      </c>
      <c r="I4210" s="1497">
        <f t="shared" si="131"/>
        <v>16000</v>
      </c>
      <c r="J4210" s="1440"/>
      <c r="K4210" s="1490"/>
      <c r="L4210" s="1490"/>
    </row>
    <row r="4211" spans="1:12" hidden="1">
      <c r="A4211" s="1569"/>
      <c r="B4211" s="181"/>
      <c r="C4211" s="654"/>
      <c r="D4211" s="654"/>
      <c r="E4211" s="655"/>
      <c r="H4211" s="231">
        <f t="shared" si="130"/>
        <v>0</v>
      </c>
      <c r="I4211" s="231">
        <f t="shared" si="131"/>
        <v>0</v>
      </c>
    </row>
    <row r="4212" spans="1:12" hidden="1">
      <c r="A4212" s="1569"/>
      <c r="B4212" s="181"/>
      <c r="C4212" s="654"/>
      <c r="D4212" s="654"/>
      <c r="E4212" s="655"/>
      <c r="H4212" s="231">
        <f t="shared" si="130"/>
        <v>0</v>
      </c>
      <c r="I4212" s="231">
        <f t="shared" si="131"/>
        <v>0</v>
      </c>
    </row>
    <row r="4213" spans="1:12" hidden="1">
      <c r="A4213" s="1569"/>
      <c r="B4213" s="107"/>
      <c r="C4213" s="654"/>
      <c r="D4213" s="654"/>
      <c r="E4213" s="654"/>
      <c r="H4213" s="231">
        <f t="shared" si="130"/>
        <v>0</v>
      </c>
      <c r="I4213" s="231">
        <f t="shared" si="131"/>
        <v>0</v>
      </c>
    </row>
    <row r="4214" spans="1:12" hidden="1">
      <c r="A4214" s="1569"/>
      <c r="B4214" s="116"/>
      <c r="C4214" s="679"/>
      <c r="D4214" s="679"/>
      <c r="E4214" s="654"/>
      <c r="H4214" s="231">
        <f t="shared" si="130"/>
        <v>0</v>
      </c>
      <c r="I4214" s="231">
        <f t="shared" si="131"/>
        <v>0</v>
      </c>
    </row>
    <row r="4215" spans="1:12" hidden="1">
      <c r="A4215" s="1569"/>
      <c r="B4215" s="107"/>
      <c r="C4215" s="654"/>
      <c r="D4215" s="654"/>
      <c r="E4215" s="654"/>
      <c r="H4215" s="231">
        <f t="shared" si="130"/>
        <v>0</v>
      </c>
      <c r="I4215" s="231">
        <f t="shared" si="131"/>
        <v>0</v>
      </c>
    </row>
    <row r="4216" spans="1:12" hidden="1">
      <c r="A4216" s="1569"/>
      <c r="B4216" s="116"/>
      <c r="C4216" s="679"/>
      <c r="D4216" s="679"/>
      <c r="E4216" s="679"/>
      <c r="H4216" s="231">
        <f t="shared" si="130"/>
        <v>0</v>
      </c>
      <c r="I4216" s="231">
        <f t="shared" si="131"/>
        <v>0</v>
      </c>
    </row>
    <row r="4217" spans="1:12" hidden="1">
      <c r="A4217" s="1569"/>
      <c r="B4217" s="116"/>
      <c r="C4217" s="679"/>
      <c r="D4217" s="679"/>
      <c r="E4217" s="654"/>
      <c r="H4217" s="231">
        <f t="shared" si="130"/>
        <v>0</v>
      </c>
      <c r="I4217" s="231">
        <f t="shared" si="131"/>
        <v>0</v>
      </c>
    </row>
    <row r="4218" spans="1:12" hidden="1">
      <c r="A4218" s="1569"/>
      <c r="B4218" s="107"/>
      <c r="C4218" s="654"/>
      <c r="D4218" s="654"/>
      <c r="E4218" s="654"/>
      <c r="H4218" s="231">
        <f t="shared" si="130"/>
        <v>0</v>
      </c>
      <c r="I4218" s="231">
        <f t="shared" si="131"/>
        <v>0</v>
      </c>
    </row>
    <row r="4219" spans="1:12" hidden="1">
      <c r="A4219" s="1569"/>
      <c r="B4219" s="107"/>
      <c r="C4219" s="654"/>
      <c r="D4219" s="654"/>
      <c r="E4219" s="256"/>
      <c r="H4219" s="231">
        <f t="shared" si="130"/>
        <v>0</v>
      </c>
      <c r="I4219" s="231">
        <f t="shared" si="131"/>
        <v>0</v>
      </c>
    </row>
    <row r="4220" spans="1:12" hidden="1">
      <c r="A4220" s="1569"/>
      <c r="B4220" s="107"/>
      <c r="C4220" s="654"/>
      <c r="D4220" s="654"/>
      <c r="E4220" s="256"/>
      <c r="H4220" s="231">
        <f t="shared" si="130"/>
        <v>0</v>
      </c>
      <c r="I4220" s="231">
        <f t="shared" si="131"/>
        <v>0</v>
      </c>
    </row>
    <row r="4221" spans="1:12" hidden="1">
      <c r="A4221" s="1569"/>
      <c r="B4221" s="107"/>
      <c r="C4221" s="654"/>
      <c r="D4221" s="654"/>
      <c r="E4221" s="256"/>
      <c r="H4221" s="231">
        <f t="shared" si="130"/>
        <v>0</v>
      </c>
      <c r="I4221" s="231">
        <f t="shared" si="131"/>
        <v>0</v>
      </c>
    </row>
    <row r="4222" spans="1:12" hidden="1">
      <c r="A4222" s="1569"/>
      <c r="B4222" s="107"/>
      <c r="C4222" s="654"/>
      <c r="D4222" s="654"/>
      <c r="E4222" s="256"/>
      <c r="H4222" s="231">
        <f t="shared" si="130"/>
        <v>0</v>
      </c>
      <c r="I4222" s="231">
        <f t="shared" si="131"/>
        <v>0</v>
      </c>
    </row>
    <row r="4223" spans="1:12" hidden="1">
      <c r="A4223" s="1569"/>
      <c r="B4223" s="116"/>
      <c r="C4223" s="679"/>
      <c r="D4223" s="679"/>
      <c r="E4223" s="256"/>
      <c r="H4223" s="231">
        <f t="shared" si="130"/>
        <v>0</v>
      </c>
      <c r="I4223" s="231">
        <f t="shared" si="131"/>
        <v>0</v>
      </c>
    </row>
    <row r="4224" spans="1:12" hidden="1">
      <c r="A4224" s="1569"/>
      <c r="B4224" s="107"/>
      <c r="C4224" s="654"/>
      <c r="D4224" s="654"/>
      <c r="E4224" s="256"/>
      <c r="H4224" s="231">
        <f t="shared" si="130"/>
        <v>0</v>
      </c>
      <c r="I4224" s="231">
        <f t="shared" si="131"/>
        <v>0</v>
      </c>
    </row>
    <row r="4225" spans="1:9" hidden="1">
      <c r="A4225" s="1569"/>
      <c r="B4225" s="107"/>
      <c r="C4225" s="654"/>
      <c r="D4225" s="654"/>
      <c r="E4225" s="256"/>
      <c r="H4225" s="231">
        <f t="shared" si="130"/>
        <v>0</v>
      </c>
      <c r="I4225" s="231">
        <f t="shared" si="131"/>
        <v>0</v>
      </c>
    </row>
    <row r="4226" spans="1:9" hidden="1">
      <c r="A4226" s="1569"/>
      <c r="B4226" s="107"/>
      <c r="C4226" s="654"/>
      <c r="D4226" s="654"/>
      <c r="E4226" s="256"/>
      <c r="H4226" s="231">
        <f t="shared" si="130"/>
        <v>0</v>
      </c>
      <c r="I4226" s="231">
        <f t="shared" si="131"/>
        <v>0</v>
      </c>
    </row>
    <row r="4227" spans="1:9" hidden="1">
      <c r="A4227" s="1569"/>
      <c r="B4227" s="107"/>
      <c r="C4227" s="654"/>
      <c r="D4227" s="654"/>
      <c r="E4227" s="256"/>
      <c r="H4227" s="231">
        <f t="shared" si="130"/>
        <v>0</v>
      </c>
      <c r="I4227" s="231">
        <f t="shared" si="131"/>
        <v>0</v>
      </c>
    </row>
    <row r="4228" spans="1:9" hidden="1">
      <c r="A4228" s="1569"/>
      <c r="B4228" s="107"/>
      <c r="C4228" s="654"/>
      <c r="D4228" s="654"/>
      <c r="E4228" s="256"/>
      <c r="H4228" s="231">
        <f t="shared" si="130"/>
        <v>0</v>
      </c>
      <c r="I4228" s="231">
        <f t="shared" si="131"/>
        <v>0</v>
      </c>
    </row>
    <row r="4229" spans="1:9" hidden="1">
      <c r="A4229" s="1569"/>
      <c r="B4229" s="107"/>
      <c r="C4229" s="654"/>
      <c r="D4229" s="654"/>
      <c r="E4229" s="256"/>
      <c r="H4229" s="231">
        <f t="shared" si="130"/>
        <v>0</v>
      </c>
      <c r="I4229" s="231">
        <f t="shared" si="131"/>
        <v>0</v>
      </c>
    </row>
    <row r="4230" spans="1:9" hidden="1">
      <c r="A4230" s="1569"/>
      <c r="B4230" s="107"/>
      <c r="C4230" s="654"/>
      <c r="D4230" s="654"/>
      <c r="E4230" s="256"/>
      <c r="H4230" s="231">
        <f t="shared" si="130"/>
        <v>0</v>
      </c>
      <c r="I4230" s="231">
        <f t="shared" si="131"/>
        <v>0</v>
      </c>
    </row>
    <row r="4231" spans="1:9" hidden="1">
      <c r="A4231" s="1569"/>
      <c r="B4231" s="107"/>
      <c r="C4231" s="654"/>
      <c r="D4231" s="654"/>
      <c r="E4231" s="256"/>
      <c r="H4231" s="231">
        <f t="shared" ref="H4231:H4292" si="132">E4231+D4231-C4231</f>
        <v>0</v>
      </c>
      <c r="I4231" s="231">
        <f t="shared" si="131"/>
        <v>0</v>
      </c>
    </row>
    <row r="4232" spans="1:9" hidden="1">
      <c r="A4232" s="1569"/>
      <c r="B4232" s="107"/>
      <c r="C4232" s="654"/>
      <c r="D4232" s="654"/>
      <c r="E4232" s="256"/>
      <c r="H4232" s="231">
        <f t="shared" si="132"/>
        <v>0</v>
      </c>
      <c r="I4232" s="231">
        <f t="shared" si="131"/>
        <v>0</v>
      </c>
    </row>
    <row r="4233" spans="1:9" hidden="1">
      <c r="A4233" s="1569"/>
      <c r="B4233" s="107"/>
      <c r="C4233" s="654"/>
      <c r="D4233" s="654"/>
      <c r="E4233" s="256"/>
      <c r="H4233" s="231">
        <f t="shared" si="132"/>
        <v>0</v>
      </c>
      <c r="I4233" s="231">
        <f t="shared" ref="I4233:I4292" si="133">SUM(C4233:E4233)</f>
        <v>0</v>
      </c>
    </row>
    <row r="4234" spans="1:9" hidden="1">
      <c r="A4234" s="1569"/>
      <c r="B4234" s="107"/>
      <c r="C4234" s="654"/>
      <c r="D4234" s="654"/>
      <c r="E4234" s="256"/>
      <c r="H4234" s="231">
        <f t="shared" si="132"/>
        <v>0</v>
      </c>
      <c r="I4234" s="231">
        <f t="shared" si="133"/>
        <v>0</v>
      </c>
    </row>
    <row r="4235" spans="1:9" hidden="1">
      <c r="A4235" s="1569"/>
      <c r="B4235" s="107"/>
      <c r="C4235" s="654"/>
      <c r="D4235" s="654"/>
      <c r="E4235" s="256"/>
      <c r="H4235" s="231">
        <f t="shared" si="132"/>
        <v>0</v>
      </c>
      <c r="I4235" s="231">
        <f t="shared" si="133"/>
        <v>0</v>
      </c>
    </row>
    <row r="4236" spans="1:9" hidden="1">
      <c r="A4236" s="1569"/>
      <c r="B4236" s="107"/>
      <c r="C4236" s="654"/>
      <c r="D4236" s="654"/>
      <c r="E4236" s="256"/>
      <c r="H4236" s="231">
        <f t="shared" si="132"/>
        <v>0</v>
      </c>
      <c r="I4236" s="231">
        <f t="shared" si="133"/>
        <v>0</v>
      </c>
    </row>
    <row r="4237" spans="1:9" hidden="1">
      <c r="A4237" s="1569"/>
      <c r="B4237" s="107"/>
      <c r="C4237" s="654"/>
      <c r="D4237" s="654"/>
      <c r="E4237" s="256"/>
      <c r="H4237" s="231">
        <f t="shared" si="132"/>
        <v>0</v>
      </c>
      <c r="I4237" s="231">
        <f t="shared" si="133"/>
        <v>0</v>
      </c>
    </row>
    <row r="4238" spans="1:9" hidden="1">
      <c r="A4238" s="1569"/>
      <c r="B4238" s="107"/>
      <c r="C4238" s="654"/>
      <c r="D4238" s="654"/>
      <c r="E4238" s="256"/>
      <c r="H4238" s="231">
        <f t="shared" si="132"/>
        <v>0</v>
      </c>
      <c r="I4238" s="231">
        <f t="shared" si="133"/>
        <v>0</v>
      </c>
    </row>
    <row r="4239" spans="1:9" hidden="1">
      <c r="A4239" s="1569"/>
      <c r="B4239" s="107"/>
      <c r="C4239" s="654"/>
      <c r="D4239" s="654"/>
      <c r="E4239" s="256"/>
      <c r="H4239" s="231">
        <f t="shared" si="132"/>
        <v>0</v>
      </c>
      <c r="I4239" s="231">
        <f t="shared" si="133"/>
        <v>0</v>
      </c>
    </row>
    <row r="4240" spans="1:9" hidden="1">
      <c r="A4240" s="1569"/>
      <c r="B4240" s="107"/>
      <c r="C4240" s="654"/>
      <c r="D4240" s="654"/>
      <c r="E4240" s="256"/>
      <c r="H4240" s="231">
        <f t="shared" si="132"/>
        <v>0</v>
      </c>
      <c r="I4240" s="231">
        <f t="shared" si="133"/>
        <v>0</v>
      </c>
    </row>
    <row r="4241" spans="1:12" hidden="1">
      <c r="A4241" s="1569"/>
      <c r="B4241" s="107"/>
      <c r="C4241" s="654"/>
      <c r="D4241" s="654"/>
      <c r="E4241" s="256"/>
      <c r="H4241" s="231">
        <f t="shared" si="132"/>
        <v>0</v>
      </c>
      <c r="I4241" s="231">
        <f t="shared" si="133"/>
        <v>0</v>
      </c>
    </row>
    <row r="4242" spans="1:12" hidden="1">
      <c r="A4242" s="1569"/>
      <c r="B4242" s="107"/>
      <c r="C4242" s="654"/>
      <c r="D4242" s="654"/>
      <c r="E4242" s="256"/>
      <c r="H4242" s="231">
        <f t="shared" si="132"/>
        <v>0</v>
      </c>
      <c r="I4242" s="231">
        <f t="shared" si="133"/>
        <v>0</v>
      </c>
    </row>
    <row r="4243" spans="1:12">
      <c r="A4243" s="1659"/>
      <c r="B4243" s="209" t="s">
        <v>985</v>
      </c>
      <c r="C4243" s="735">
        <f>SUM(C4209:C4242)</f>
        <v>23000</v>
      </c>
      <c r="D4243" s="735">
        <f>SUM(D4209:D4242)</f>
        <v>8000</v>
      </c>
      <c r="E4243" s="735">
        <f>SUM(E4209:E4242)</f>
        <v>15000</v>
      </c>
      <c r="H4243" s="1497">
        <f t="shared" si="132"/>
        <v>0</v>
      </c>
      <c r="I4243" s="1497">
        <f t="shared" si="133"/>
        <v>46000</v>
      </c>
      <c r="J4243" s="1440"/>
      <c r="K4243" s="1490"/>
      <c r="L4243" s="1490"/>
    </row>
    <row r="4244" spans="1:12" hidden="1">
      <c r="A4244" s="1568" t="s">
        <v>981</v>
      </c>
      <c r="B4244" s="617"/>
      <c r="C4244" s="633"/>
      <c r="D4244" s="633"/>
      <c r="E4244" s="633"/>
      <c r="H4244" s="231">
        <f t="shared" si="132"/>
        <v>0</v>
      </c>
      <c r="I4244" s="231">
        <f t="shared" si="133"/>
        <v>0</v>
      </c>
    </row>
    <row r="4245" spans="1:12" hidden="1">
      <c r="A4245" s="1569"/>
      <c r="B4245" s="371"/>
      <c r="C4245" s="865"/>
      <c r="D4245" s="886"/>
      <c r="E4245" s="887"/>
      <c r="H4245" s="231">
        <f t="shared" si="132"/>
        <v>0</v>
      </c>
      <c r="I4245" s="231">
        <f t="shared" si="133"/>
        <v>0</v>
      </c>
    </row>
    <row r="4246" spans="1:12" hidden="1">
      <c r="A4246" s="1569"/>
      <c r="B4246" s="181"/>
      <c r="C4246" s="654"/>
      <c r="D4246" s="654"/>
      <c r="E4246" s="655"/>
      <c r="H4246" s="231">
        <f t="shared" si="132"/>
        <v>0</v>
      </c>
      <c r="I4246" s="231">
        <f t="shared" si="133"/>
        <v>0</v>
      </c>
    </row>
    <row r="4247" spans="1:12" hidden="1">
      <c r="A4247" s="1569"/>
      <c r="B4247" s="181"/>
      <c r="C4247" s="654"/>
      <c r="D4247" s="654"/>
      <c r="E4247" s="655"/>
      <c r="H4247" s="231">
        <f t="shared" si="132"/>
        <v>0</v>
      </c>
      <c r="I4247" s="231">
        <f t="shared" si="133"/>
        <v>0</v>
      </c>
    </row>
    <row r="4248" spans="1:12" hidden="1">
      <c r="A4248" s="1569"/>
      <c r="B4248" s="107"/>
      <c r="C4248" s="654"/>
      <c r="D4248" s="654"/>
      <c r="E4248" s="654"/>
      <c r="H4248" s="231">
        <f t="shared" si="132"/>
        <v>0</v>
      </c>
      <c r="I4248" s="231">
        <f t="shared" si="133"/>
        <v>0</v>
      </c>
    </row>
    <row r="4249" spans="1:12" hidden="1">
      <c r="A4249" s="1569"/>
      <c r="B4249" s="116"/>
      <c r="C4249" s="679"/>
      <c r="D4249" s="679"/>
      <c r="E4249" s="654"/>
      <c r="H4249" s="231">
        <f t="shared" si="132"/>
        <v>0</v>
      </c>
      <c r="I4249" s="231">
        <f t="shared" si="133"/>
        <v>0</v>
      </c>
    </row>
    <row r="4250" spans="1:12" hidden="1">
      <c r="A4250" s="1569"/>
      <c r="B4250" s="107"/>
      <c r="C4250" s="654"/>
      <c r="D4250" s="654"/>
      <c r="E4250" s="654"/>
      <c r="H4250" s="231">
        <f t="shared" si="132"/>
        <v>0</v>
      </c>
      <c r="I4250" s="231">
        <f t="shared" si="133"/>
        <v>0</v>
      </c>
    </row>
    <row r="4251" spans="1:12" hidden="1">
      <c r="A4251" s="1569"/>
      <c r="B4251" s="116"/>
      <c r="C4251" s="679"/>
      <c r="D4251" s="679"/>
      <c r="E4251" s="679"/>
      <c r="H4251" s="231">
        <f t="shared" si="132"/>
        <v>0</v>
      </c>
      <c r="I4251" s="231">
        <f t="shared" si="133"/>
        <v>0</v>
      </c>
    </row>
    <row r="4252" spans="1:12" hidden="1">
      <c r="A4252" s="1569"/>
      <c r="B4252" s="116"/>
      <c r="C4252" s="679"/>
      <c r="D4252" s="679"/>
      <c r="E4252" s="654"/>
      <c r="H4252" s="231">
        <f t="shared" si="132"/>
        <v>0</v>
      </c>
      <c r="I4252" s="231">
        <f t="shared" si="133"/>
        <v>0</v>
      </c>
    </row>
    <row r="4253" spans="1:12" hidden="1">
      <c r="A4253" s="1569"/>
      <c r="B4253" s="107"/>
      <c r="C4253" s="654"/>
      <c r="D4253" s="654"/>
      <c r="E4253" s="654"/>
      <c r="H4253" s="231">
        <f t="shared" si="132"/>
        <v>0</v>
      </c>
      <c r="I4253" s="231">
        <f t="shared" si="133"/>
        <v>0</v>
      </c>
    </row>
    <row r="4254" spans="1:12" hidden="1">
      <c r="A4254" s="1569"/>
      <c r="B4254" s="107"/>
      <c r="C4254" s="654"/>
      <c r="D4254" s="654"/>
      <c r="E4254" s="256"/>
      <c r="H4254" s="231">
        <f t="shared" si="132"/>
        <v>0</v>
      </c>
      <c r="I4254" s="231">
        <f t="shared" si="133"/>
        <v>0</v>
      </c>
    </row>
    <row r="4255" spans="1:12" hidden="1">
      <c r="A4255" s="1569"/>
      <c r="B4255" s="107"/>
      <c r="C4255" s="654"/>
      <c r="D4255" s="654"/>
      <c r="E4255" s="256"/>
      <c r="H4255" s="231">
        <f t="shared" si="132"/>
        <v>0</v>
      </c>
      <c r="I4255" s="231">
        <f t="shared" si="133"/>
        <v>0</v>
      </c>
    </row>
    <row r="4256" spans="1:12" hidden="1">
      <c r="A4256" s="1569"/>
      <c r="B4256" s="107"/>
      <c r="C4256" s="654"/>
      <c r="D4256" s="654"/>
      <c r="E4256" s="256"/>
      <c r="H4256" s="231">
        <f t="shared" si="132"/>
        <v>0</v>
      </c>
      <c r="I4256" s="231">
        <f t="shared" si="133"/>
        <v>0</v>
      </c>
    </row>
    <row r="4257" spans="1:9" hidden="1">
      <c r="A4257" s="1569"/>
      <c r="B4257" s="107"/>
      <c r="C4257" s="654"/>
      <c r="D4257" s="654"/>
      <c r="E4257" s="256"/>
      <c r="H4257" s="231">
        <f t="shared" si="132"/>
        <v>0</v>
      </c>
      <c r="I4257" s="231">
        <f t="shared" si="133"/>
        <v>0</v>
      </c>
    </row>
    <row r="4258" spans="1:9" hidden="1">
      <c r="A4258" s="1569"/>
      <c r="B4258" s="116"/>
      <c r="C4258" s="679"/>
      <c r="D4258" s="679"/>
      <c r="E4258" s="256"/>
      <c r="H4258" s="231">
        <f t="shared" si="132"/>
        <v>0</v>
      </c>
      <c r="I4258" s="231">
        <f t="shared" si="133"/>
        <v>0</v>
      </c>
    </row>
    <row r="4259" spans="1:9" hidden="1">
      <c r="A4259" s="1569"/>
      <c r="B4259" s="107"/>
      <c r="C4259" s="654"/>
      <c r="D4259" s="654"/>
      <c r="E4259" s="256"/>
      <c r="H4259" s="231">
        <f t="shared" si="132"/>
        <v>0</v>
      </c>
      <c r="I4259" s="231">
        <f t="shared" si="133"/>
        <v>0</v>
      </c>
    </row>
    <row r="4260" spans="1:9" hidden="1">
      <c r="A4260" s="1569"/>
      <c r="B4260" s="107"/>
      <c r="C4260" s="654"/>
      <c r="D4260" s="654"/>
      <c r="E4260" s="256"/>
      <c r="H4260" s="231">
        <f t="shared" si="132"/>
        <v>0</v>
      </c>
      <c r="I4260" s="231">
        <f t="shared" si="133"/>
        <v>0</v>
      </c>
    </row>
    <row r="4261" spans="1:9" hidden="1">
      <c r="A4261" s="1569"/>
      <c r="B4261" s="107"/>
      <c r="C4261" s="654"/>
      <c r="D4261" s="654"/>
      <c r="E4261" s="256"/>
      <c r="H4261" s="231">
        <f t="shared" si="132"/>
        <v>0</v>
      </c>
      <c r="I4261" s="231">
        <f t="shared" si="133"/>
        <v>0</v>
      </c>
    </row>
    <row r="4262" spans="1:9" hidden="1">
      <c r="A4262" s="1569"/>
      <c r="B4262" s="107"/>
      <c r="C4262" s="654"/>
      <c r="D4262" s="654"/>
      <c r="E4262" s="256"/>
      <c r="H4262" s="231">
        <f t="shared" si="132"/>
        <v>0</v>
      </c>
      <c r="I4262" s="231">
        <f t="shared" si="133"/>
        <v>0</v>
      </c>
    </row>
    <row r="4263" spans="1:9" hidden="1">
      <c r="A4263" s="1569"/>
      <c r="B4263" s="107"/>
      <c r="C4263" s="654"/>
      <c r="D4263" s="654"/>
      <c r="E4263" s="256"/>
      <c r="H4263" s="231">
        <f t="shared" si="132"/>
        <v>0</v>
      </c>
      <c r="I4263" s="231">
        <f t="shared" si="133"/>
        <v>0</v>
      </c>
    </row>
    <row r="4264" spans="1:9" hidden="1">
      <c r="A4264" s="1569"/>
      <c r="B4264" s="107"/>
      <c r="C4264" s="654"/>
      <c r="D4264" s="654"/>
      <c r="E4264" s="256"/>
      <c r="H4264" s="231">
        <f t="shared" si="132"/>
        <v>0</v>
      </c>
      <c r="I4264" s="231">
        <f t="shared" si="133"/>
        <v>0</v>
      </c>
    </row>
    <row r="4265" spans="1:9" hidden="1">
      <c r="A4265" s="1569"/>
      <c r="B4265" s="107"/>
      <c r="C4265" s="654"/>
      <c r="D4265" s="654"/>
      <c r="E4265" s="256"/>
      <c r="H4265" s="231">
        <f t="shared" si="132"/>
        <v>0</v>
      </c>
      <c r="I4265" s="231">
        <f t="shared" si="133"/>
        <v>0</v>
      </c>
    </row>
    <row r="4266" spans="1:9" hidden="1">
      <c r="A4266" s="1569"/>
      <c r="B4266" s="107"/>
      <c r="C4266" s="654"/>
      <c r="D4266" s="654"/>
      <c r="E4266" s="256"/>
      <c r="H4266" s="231">
        <f t="shared" si="132"/>
        <v>0</v>
      </c>
      <c r="I4266" s="231">
        <f t="shared" si="133"/>
        <v>0</v>
      </c>
    </row>
    <row r="4267" spans="1:9" hidden="1">
      <c r="A4267" s="1569"/>
      <c r="B4267" s="107"/>
      <c r="C4267" s="654"/>
      <c r="D4267" s="654"/>
      <c r="E4267" s="256"/>
      <c r="H4267" s="231">
        <f t="shared" si="132"/>
        <v>0</v>
      </c>
      <c r="I4267" s="231">
        <f t="shared" si="133"/>
        <v>0</v>
      </c>
    </row>
    <row r="4268" spans="1:9" hidden="1">
      <c r="A4268" s="1569"/>
      <c r="B4268" s="107"/>
      <c r="C4268" s="654"/>
      <c r="D4268" s="654"/>
      <c r="E4268" s="256"/>
      <c r="H4268" s="231">
        <f t="shared" si="132"/>
        <v>0</v>
      </c>
      <c r="I4268" s="231">
        <f t="shared" si="133"/>
        <v>0</v>
      </c>
    </row>
    <row r="4269" spans="1:9" hidden="1">
      <c r="A4269" s="1569"/>
      <c r="B4269" s="107"/>
      <c r="C4269" s="654"/>
      <c r="D4269" s="654"/>
      <c r="E4269" s="256"/>
      <c r="H4269" s="231">
        <f t="shared" si="132"/>
        <v>0</v>
      </c>
      <c r="I4269" s="231">
        <f t="shared" si="133"/>
        <v>0</v>
      </c>
    </row>
    <row r="4270" spans="1:9" hidden="1">
      <c r="A4270" s="1569"/>
      <c r="B4270" s="107"/>
      <c r="C4270" s="654"/>
      <c r="D4270" s="654"/>
      <c r="E4270" s="256"/>
      <c r="H4270" s="231">
        <f t="shared" si="132"/>
        <v>0</v>
      </c>
      <c r="I4270" s="231">
        <f t="shared" si="133"/>
        <v>0</v>
      </c>
    </row>
    <row r="4271" spans="1:9" hidden="1">
      <c r="A4271" s="1569"/>
      <c r="B4271" s="107"/>
      <c r="C4271" s="654"/>
      <c r="D4271" s="654"/>
      <c r="E4271" s="256"/>
      <c r="H4271" s="231">
        <f t="shared" si="132"/>
        <v>0</v>
      </c>
      <c r="I4271" s="231">
        <f t="shared" si="133"/>
        <v>0</v>
      </c>
    </row>
    <row r="4272" spans="1:9" hidden="1">
      <c r="A4272" s="1569"/>
      <c r="B4272" s="107"/>
      <c r="C4272" s="654"/>
      <c r="D4272" s="654"/>
      <c r="E4272" s="256"/>
      <c r="H4272" s="231">
        <f t="shared" si="132"/>
        <v>0</v>
      </c>
      <c r="I4272" s="231">
        <f t="shared" si="133"/>
        <v>0</v>
      </c>
    </row>
    <row r="4273" spans="1:12" hidden="1">
      <c r="A4273" s="1569"/>
      <c r="B4273" s="107"/>
      <c r="C4273" s="654"/>
      <c r="D4273" s="654"/>
      <c r="E4273" s="256"/>
      <c r="H4273" s="231">
        <f t="shared" si="132"/>
        <v>0</v>
      </c>
      <c r="I4273" s="231">
        <f t="shared" si="133"/>
        <v>0</v>
      </c>
    </row>
    <row r="4274" spans="1:12" hidden="1">
      <c r="A4274" s="1569"/>
      <c r="B4274" s="107"/>
      <c r="C4274" s="654"/>
      <c r="D4274" s="654"/>
      <c r="E4274" s="256"/>
      <c r="H4274" s="231">
        <f t="shared" si="132"/>
        <v>0</v>
      </c>
      <c r="I4274" s="231">
        <f t="shared" si="133"/>
        <v>0</v>
      </c>
    </row>
    <row r="4275" spans="1:12" hidden="1">
      <c r="A4275" s="1569"/>
      <c r="B4275" s="107"/>
      <c r="C4275" s="654"/>
      <c r="D4275" s="654"/>
      <c r="E4275" s="256"/>
      <c r="H4275" s="231">
        <f t="shared" si="132"/>
        <v>0</v>
      </c>
      <c r="I4275" s="231">
        <f t="shared" si="133"/>
        <v>0</v>
      </c>
    </row>
    <row r="4276" spans="1:12" hidden="1">
      <c r="A4276" s="1569"/>
      <c r="B4276" s="107"/>
      <c r="C4276" s="654"/>
      <c r="D4276" s="654"/>
      <c r="E4276" s="256"/>
      <c r="H4276" s="231">
        <f t="shared" si="132"/>
        <v>0</v>
      </c>
      <c r="I4276" s="231">
        <f t="shared" si="133"/>
        <v>0</v>
      </c>
    </row>
    <row r="4277" spans="1:12" hidden="1">
      <c r="A4277" s="1569"/>
      <c r="B4277" s="107"/>
      <c r="C4277" s="654"/>
      <c r="D4277" s="654"/>
      <c r="E4277" s="256"/>
      <c r="H4277" s="231">
        <f t="shared" si="132"/>
        <v>0</v>
      </c>
      <c r="I4277" s="231">
        <f t="shared" si="133"/>
        <v>0</v>
      </c>
    </row>
    <row r="4278" spans="1:12" hidden="1">
      <c r="A4278" s="1659"/>
      <c r="B4278" s="209" t="s">
        <v>985</v>
      </c>
      <c r="C4278" s="735">
        <f>SUM(C4244:C4277)</f>
        <v>0</v>
      </c>
      <c r="D4278" s="735">
        <f>SUM(D4244:D4277)</f>
        <v>0</v>
      </c>
      <c r="E4278" s="735">
        <f>SUM(E4244:E4277)</f>
        <v>0</v>
      </c>
      <c r="H4278" s="231">
        <f t="shared" si="132"/>
        <v>0</v>
      </c>
      <c r="I4278" s="231">
        <f t="shared" si="133"/>
        <v>0</v>
      </c>
    </row>
    <row r="4279" spans="1:12" ht="75">
      <c r="A4279" s="1420" t="s">
        <v>1297</v>
      </c>
      <c r="B4279" s="532" t="s">
        <v>1079</v>
      </c>
      <c r="C4279" s="1239">
        <v>70307</v>
      </c>
      <c r="D4279" s="735"/>
      <c r="E4279" s="1239">
        <v>70307</v>
      </c>
      <c r="H4279" s="1497">
        <f t="shared" si="132"/>
        <v>0</v>
      </c>
      <c r="I4279" s="1497">
        <f t="shared" si="133"/>
        <v>140614</v>
      </c>
      <c r="J4279" s="1440"/>
      <c r="K4279" s="1490"/>
      <c r="L4279" s="1490"/>
    </row>
    <row r="4280" spans="1:12" ht="53.45" customHeight="1">
      <c r="A4280" s="1420" t="s">
        <v>1298</v>
      </c>
      <c r="B4280" s="532" t="s">
        <v>1079</v>
      </c>
      <c r="C4280" s="1239">
        <v>42680</v>
      </c>
      <c r="D4280" s="735"/>
      <c r="E4280" s="1239">
        <v>42680</v>
      </c>
      <c r="H4280" s="1497">
        <f t="shared" si="132"/>
        <v>0</v>
      </c>
      <c r="I4280" s="1497">
        <f t="shared" si="133"/>
        <v>85360</v>
      </c>
      <c r="J4280" s="1440"/>
      <c r="K4280" s="1490"/>
      <c r="L4280" s="1490"/>
    </row>
    <row r="4281" spans="1:12" ht="75">
      <c r="A4281" s="1420" t="s">
        <v>2108</v>
      </c>
      <c r="B4281" s="532" t="s">
        <v>1079</v>
      </c>
      <c r="C4281" s="1239">
        <v>83764</v>
      </c>
      <c r="D4281" s="735"/>
      <c r="E4281" s="1239">
        <v>83764</v>
      </c>
      <c r="H4281" s="1497">
        <f t="shared" si="132"/>
        <v>0</v>
      </c>
      <c r="I4281" s="1497">
        <f t="shared" si="133"/>
        <v>167528</v>
      </c>
      <c r="J4281" s="1440"/>
      <c r="K4281" s="1490"/>
      <c r="L4281" s="1490"/>
    </row>
    <row r="4282" spans="1:12" ht="75">
      <c r="A4282" s="1420" t="s">
        <v>2109</v>
      </c>
      <c r="B4282" s="532" t="s">
        <v>1079</v>
      </c>
      <c r="C4282" s="1239">
        <v>38974</v>
      </c>
      <c r="D4282" s="735"/>
      <c r="E4282" s="1239">
        <v>38974</v>
      </c>
      <c r="H4282" s="1497">
        <f t="shared" si="132"/>
        <v>0</v>
      </c>
      <c r="I4282" s="1497">
        <f t="shared" si="133"/>
        <v>77948</v>
      </c>
      <c r="J4282" s="1440"/>
      <c r="K4282" s="1490"/>
      <c r="L4282" s="1490"/>
    </row>
    <row r="4283" spans="1:12" ht="75">
      <c r="A4283" s="1420" t="s">
        <v>2110</v>
      </c>
      <c r="B4283" s="532" t="s">
        <v>1079</v>
      </c>
      <c r="C4283" s="1239">
        <v>72249</v>
      </c>
      <c r="D4283" s="735"/>
      <c r="E4283" s="1239">
        <v>72249</v>
      </c>
      <c r="H4283" s="1497">
        <f t="shared" si="132"/>
        <v>0</v>
      </c>
      <c r="I4283" s="1497">
        <f t="shared" si="133"/>
        <v>144498</v>
      </c>
      <c r="J4283" s="1440"/>
      <c r="K4283" s="1490"/>
      <c r="L4283" s="1490"/>
    </row>
    <row r="4284" spans="1:12" ht="75">
      <c r="A4284" s="1420" t="s">
        <v>2111</v>
      </c>
      <c r="B4284" s="532" t="s">
        <v>1079</v>
      </c>
      <c r="C4284" s="1239">
        <v>31329</v>
      </c>
      <c r="D4284" s="735"/>
      <c r="E4284" s="1239">
        <v>31329</v>
      </c>
      <c r="H4284" s="1497">
        <f t="shared" si="132"/>
        <v>0</v>
      </c>
      <c r="I4284" s="1497">
        <f t="shared" si="133"/>
        <v>62658</v>
      </c>
      <c r="J4284" s="1440"/>
      <c r="K4284" s="1490"/>
      <c r="L4284" s="1490"/>
    </row>
    <row r="4285" spans="1:12" ht="75">
      <c r="A4285" s="1420" t="s">
        <v>2112</v>
      </c>
      <c r="B4285" s="532" t="s">
        <v>1079</v>
      </c>
      <c r="C4285" s="1239">
        <v>56332</v>
      </c>
      <c r="D4285" s="735"/>
      <c r="E4285" s="1239">
        <v>56332</v>
      </c>
      <c r="H4285" s="1497">
        <f t="shared" si="132"/>
        <v>0</v>
      </c>
      <c r="I4285" s="1497">
        <f t="shared" si="133"/>
        <v>112664</v>
      </c>
      <c r="J4285" s="1440"/>
      <c r="K4285" s="1490"/>
      <c r="L4285" s="1490"/>
    </row>
    <row r="4286" spans="1:12" ht="75">
      <c r="A4286" s="1420" t="s">
        <v>2113</v>
      </c>
      <c r="B4286" s="532" t="s">
        <v>1079</v>
      </c>
      <c r="C4286" s="1239">
        <v>20367</v>
      </c>
      <c r="D4286" s="735"/>
      <c r="E4286" s="1239">
        <v>20367</v>
      </c>
      <c r="H4286" s="1497">
        <f t="shared" si="132"/>
        <v>0</v>
      </c>
      <c r="I4286" s="1497">
        <f t="shared" si="133"/>
        <v>40734</v>
      </c>
      <c r="J4286" s="1440"/>
      <c r="K4286" s="1490"/>
      <c r="L4286" s="1490"/>
    </row>
    <row r="4287" spans="1:12" ht="75">
      <c r="A4287" s="1420" t="s">
        <v>2114</v>
      </c>
      <c r="B4287" s="532" t="s">
        <v>1079</v>
      </c>
      <c r="C4287" s="1239">
        <v>18263</v>
      </c>
      <c r="D4287" s="735"/>
      <c r="E4287" s="1239">
        <v>18263</v>
      </c>
      <c r="H4287" s="1497">
        <f t="shared" si="132"/>
        <v>0</v>
      </c>
      <c r="I4287" s="1497">
        <f t="shared" si="133"/>
        <v>36526</v>
      </c>
      <c r="J4287" s="1440"/>
      <c r="K4287" s="1490"/>
      <c r="L4287" s="1490"/>
    </row>
    <row r="4288" spans="1:12" ht="75" hidden="1">
      <c r="A4288" s="1553" t="s">
        <v>198</v>
      </c>
      <c r="B4288" s="107" t="s">
        <v>1079</v>
      </c>
      <c r="C4288" s="589"/>
      <c r="D4288" s="589"/>
      <c r="E4288" s="589"/>
      <c r="H4288" s="231">
        <f t="shared" si="132"/>
        <v>0</v>
      </c>
      <c r="I4288" s="231">
        <f t="shared" si="133"/>
        <v>0</v>
      </c>
    </row>
    <row r="4289" spans="1:13" ht="75">
      <c r="A4289" s="1554"/>
      <c r="B4289" s="107" t="s">
        <v>1080</v>
      </c>
      <c r="C4289" s="1128">
        <v>450000</v>
      </c>
      <c r="D4289" s="1128"/>
      <c r="E4289" s="1128">
        <v>450000</v>
      </c>
      <c r="H4289" s="1497">
        <f t="shared" si="132"/>
        <v>0</v>
      </c>
      <c r="I4289" s="1497">
        <f t="shared" si="133"/>
        <v>900000</v>
      </c>
      <c r="J4289" s="1440"/>
      <c r="K4289" s="1490"/>
      <c r="L4289" s="1490"/>
    </row>
    <row r="4290" spans="1:13" ht="150" hidden="1">
      <c r="A4290" s="1554"/>
      <c r="B4290" s="107" t="s">
        <v>820</v>
      </c>
      <c r="C4290" s="589"/>
      <c r="D4290" s="589"/>
      <c r="E4290" s="589"/>
      <c r="H4290" s="231">
        <f t="shared" si="132"/>
        <v>0</v>
      </c>
      <c r="I4290" s="231">
        <f t="shared" si="133"/>
        <v>0</v>
      </c>
    </row>
    <row r="4291" spans="1:13">
      <c r="A4291" s="1555"/>
      <c r="B4291" s="209" t="s">
        <v>985</v>
      </c>
      <c r="C4291" s="919">
        <f>SUM(C4288:C4290)</f>
        <v>450000</v>
      </c>
      <c r="D4291" s="919">
        <f>SUM(D4288:D4290)</f>
        <v>0</v>
      </c>
      <c r="E4291" s="919">
        <f>SUM(E4288:E4290)</f>
        <v>450000</v>
      </c>
      <c r="H4291" s="1497">
        <f t="shared" si="132"/>
        <v>0</v>
      </c>
      <c r="I4291" s="1497">
        <f t="shared" si="133"/>
        <v>900000</v>
      </c>
      <c r="J4291" s="1440"/>
      <c r="K4291" s="1490"/>
      <c r="L4291" s="1490"/>
    </row>
    <row r="4292" spans="1:13">
      <c r="A4292" s="1138"/>
      <c r="B4292" s="918" t="s">
        <v>985</v>
      </c>
      <c r="C4292" s="581">
        <f>C191+C318+C434+C474+C562+C615+C675+C724+C765+C819+C880+C919+C999+C1099+C1166+C1265+C1387+C1457+C1535+C1584+C1781+C1876+C1970+C2047+C2133+C2212+C2353+C2425+C2432+C2438+C2441+C2473+C2483+C2539+C2545+C2548+C2551+C2586+C2621+C2670+C2818+C2853+C2888+C2923+C2958+C2993+C3028+C3080+C3115+C3150+C3185+C3220+C3255+C3290+C3325+C3360+C3395+C3430+C3465+C3500+C3535+C3570+C3605+C3640+C3708+C3826+C3861+C3896+C3931+C3966+C4002+C4035+C4070+C4105+C4140+C4173+C4208+C4243+C4278+C4291+C4279+C4280+C4281+C4282+C4283+C4284+C4285+C4286+C4287</f>
        <v>61615007</v>
      </c>
      <c r="D4292" s="581">
        <f>D191+D318+D434+D474+D562+D615+D675+D724+D765+D819+D880+D919+D999+D1099+D1166+D1265+D1387+D1457+D1535+D1584+D1781+D1876+D1970+D2047+D2133+D2212+D2353+D2425+D2432+D2438+D2441+D2473+D2483+D2539+D2545+D2548+D2551+D2586+D2621+D2670+D2818+D2853+D2888+D2923+D2958+D2993+D3028+D3080+D3115+D3150+D3185+D3220+D3255+D3290+D3325+D3360+D3395+D3430+D3465+D3500+D3535+D3570+D3605+D3640+D3708+D3826+D3861+D3896+D3931+D3966+D4002+D4035+D4070+D4105+D4140+D4173+D4208+D4243+D4278+D4291+D4279+D4280+D4281+D4282+D4283+D4284+D4285+D4286+D4287</f>
        <v>38656280</v>
      </c>
      <c r="E4292" s="581">
        <f>E191+E318+E434+E474+E562+E615+E675+E724+E765+E819+E880+E919+E999+E1099+E1166+E1265+E1387+E1457+E1535+E1584+E1781+E1876+E1970+E2047+E2133+E2212+E2353+E2425+E2432+E2438+E2441+E2473+E2483+E2539+E2545+E2548+E2551+E2586+E2621+E2670+E2818+E2853+E2888+E2923+E2958+E2993+E3028+E3080+E3115+E3150+E3185+E3220+E3255+E3290+E3325+E3360+E3395+E3430+E3465+E3500+E3535+E3570+E3605+E3640+E3708+E3826+E3861+E3896+E3931+E3966+E4002+E4035+E4070+E4105+E4140+E4173+E4208+E4243+E4278+E4291+E4279+E4280+E4281+E4282+E4283+E4284+E4285+E4286+E4287</f>
        <v>22958727</v>
      </c>
      <c r="F4292" s="380">
        <f>F4207+F4291</f>
        <v>0</v>
      </c>
      <c r="G4292" s="380">
        <f>G4207+G4291</f>
        <v>0</v>
      </c>
      <c r="H4292" s="1497">
        <f t="shared" si="132"/>
        <v>0</v>
      </c>
      <c r="I4292" s="1497">
        <f t="shared" si="133"/>
        <v>123230014</v>
      </c>
      <c r="J4292" s="1440"/>
      <c r="K4292" s="1490"/>
      <c r="L4292" s="1490"/>
    </row>
    <row r="4293" spans="1:13">
      <c r="C4293" s="215"/>
      <c r="D4293" s="215"/>
      <c r="E4293" s="215"/>
      <c r="H4293" s="1440"/>
      <c r="I4293" s="1500">
        <v>1</v>
      </c>
      <c r="J4293" s="1440"/>
      <c r="K4293" s="1490"/>
      <c r="L4293" s="1490"/>
    </row>
    <row r="4294" spans="1:13" ht="20.25">
      <c r="A4294" s="163" t="s">
        <v>211</v>
      </c>
      <c r="B4294" s="163"/>
      <c r="C4294" s="167"/>
      <c r="D4294" s="168"/>
      <c r="E4294" s="163" t="s">
        <v>212</v>
      </c>
      <c r="G4294" s="8"/>
      <c r="H4294" s="1435"/>
      <c r="I4294" s="1501">
        <v>1</v>
      </c>
      <c r="J4294" s="1501"/>
      <c r="K4294" s="1495"/>
      <c r="L4294" s="1494"/>
      <c r="M4294" s="163"/>
    </row>
    <row r="4295" spans="1:13">
      <c r="C4295" s="215"/>
      <c r="D4295" s="215"/>
      <c r="E4295" s="215"/>
      <c r="H4295" s="1440"/>
      <c r="I4295" s="1500">
        <v>1</v>
      </c>
      <c r="J4295" s="1440"/>
      <c r="K4295" s="1490"/>
      <c r="L4295" s="1490"/>
    </row>
    <row r="4296" spans="1:13">
      <c r="C4296" s="215"/>
      <c r="D4296" s="215"/>
      <c r="E4296" s="215"/>
      <c r="H4296" s="1440"/>
      <c r="I4296" s="1500">
        <v>1</v>
      </c>
      <c r="J4296" s="1440"/>
      <c r="K4296" s="1490"/>
      <c r="L4296" s="1490"/>
    </row>
    <row r="4297" spans="1:13" s="374" customFormat="1">
      <c r="C4297" s="1290"/>
      <c r="D4297" s="1290"/>
      <c r="E4297" s="1290"/>
      <c r="F4297" s="7"/>
      <c r="G4297" s="7"/>
      <c r="H4297" s="1440"/>
      <c r="I4297" s="1500">
        <v>1</v>
      </c>
      <c r="J4297" s="1440"/>
      <c r="K4297" s="1490"/>
      <c r="L4297" s="1490"/>
    </row>
    <row r="4298" spans="1:13">
      <c r="C4298" s="215"/>
      <c r="D4298" s="215"/>
      <c r="E4298" s="215"/>
      <c r="H4298" s="1440"/>
      <c r="I4298" s="1500">
        <v>1</v>
      </c>
      <c r="J4298" s="1440"/>
      <c r="K4298" s="1490"/>
      <c r="L4298" s="1490"/>
    </row>
    <row r="4299" spans="1:13" s="85" customFormat="1" hidden="1">
      <c r="C4299" s="112">
        <f>C4292-D4292-E4292</f>
        <v>0</v>
      </c>
      <c r="D4299" s="112">
        <f>D4292-дод5!BH118</f>
        <v>0</v>
      </c>
      <c r="E4299" s="112">
        <f>E4292-дод5!BX118</f>
        <v>0</v>
      </c>
    </row>
    <row r="4300" spans="1:13" s="7" customFormat="1" hidden="1">
      <c r="C4300" s="108"/>
      <c r="D4300" s="108"/>
      <c r="E4300" s="108"/>
    </row>
    <row r="4301" spans="1:13" s="7" customFormat="1" hidden="1">
      <c r="C4301" s="108"/>
      <c r="D4301" s="108"/>
      <c r="E4301" s="108"/>
    </row>
    <row r="4302" spans="1:13" s="7" customFormat="1" hidden="1">
      <c r="C4302" s="108"/>
      <c r="D4302" s="108"/>
      <c r="E4302" s="108"/>
    </row>
    <row r="4303" spans="1:13" s="7" customFormat="1" hidden="1">
      <c r="C4303" s="108"/>
      <c r="D4303" s="108"/>
      <c r="E4303" s="108"/>
    </row>
    <row r="4304" spans="1:13" s="7" customFormat="1" hidden="1">
      <c r="C4304" s="108"/>
      <c r="D4304" s="108"/>
      <c r="E4304" s="108"/>
    </row>
    <row r="4305" spans="3:12" s="7" customFormat="1" hidden="1">
      <c r="C4305" s="108"/>
      <c r="D4305" s="108"/>
      <c r="E4305" s="108"/>
    </row>
    <row r="4306" spans="3:12" s="7" customFormat="1" hidden="1">
      <c r="C4306" s="108"/>
      <c r="D4306" s="108"/>
      <c r="E4306" s="108"/>
    </row>
    <row r="4307" spans="3:12" s="7" customFormat="1" hidden="1">
      <c r="C4307" s="108"/>
      <c r="D4307" s="108"/>
      <c r="E4307" s="108"/>
    </row>
    <row r="4308" spans="3:12" s="7" customFormat="1" hidden="1">
      <c r="C4308" s="108"/>
      <c r="D4308" s="108"/>
      <c r="E4308" s="108"/>
    </row>
    <row r="4309" spans="3:12" s="7" customFormat="1" hidden="1">
      <c r="C4309" s="108"/>
      <c r="D4309" s="108"/>
      <c r="E4309" s="108"/>
    </row>
    <row r="4310" spans="3:12" s="7" customFormat="1" hidden="1">
      <c r="C4310" s="108"/>
      <c r="D4310" s="108"/>
      <c r="E4310" s="108"/>
    </row>
    <row r="4311" spans="3:12" s="7" customFormat="1" hidden="1">
      <c r="C4311" s="108"/>
      <c r="D4311" s="108"/>
      <c r="E4311" s="108"/>
    </row>
    <row r="4312" spans="3:12" s="7" customFormat="1" hidden="1">
      <c r="C4312" s="108"/>
      <c r="D4312" s="108"/>
      <c r="E4312" s="108"/>
    </row>
    <row r="4313" spans="3:12" s="216" customFormat="1" hidden="1">
      <c r="C4313" s="217">
        <f>C4292-дод5!BX118-дод5!BH118</f>
        <v>0</v>
      </c>
      <c r="D4313" s="217">
        <f>D4292-дод5!BH118</f>
        <v>0</v>
      </c>
      <c r="E4313" s="217">
        <f>E4292-дод5!BX118</f>
        <v>0</v>
      </c>
      <c r="F4313" s="7"/>
      <c r="G4313" s="7"/>
    </row>
    <row r="4314" spans="3:12" hidden="1">
      <c r="C4314" s="217">
        <f>C4292-дод5!BH118-дод5!BX118</f>
        <v>0</v>
      </c>
      <c r="D4314" s="217">
        <f>D4292-дод5!BH118</f>
        <v>0</v>
      </c>
      <c r="E4314" s="217">
        <f>E4292-дод5!BX118</f>
        <v>0</v>
      </c>
      <c r="H4314" s="216"/>
    </row>
    <row r="4315" spans="3:12" hidden="1"/>
    <row r="4316" spans="3:12" hidden="1">
      <c r="C4316" s="395">
        <f>дод5!BH118+дод5!BX118-C4292</f>
        <v>0</v>
      </c>
      <c r="D4316" s="395">
        <f>D4292-дод5!BH118</f>
        <v>0</v>
      </c>
      <c r="E4316" s="395">
        <f>E4292-дод5!BX118</f>
        <v>0</v>
      </c>
    </row>
    <row r="4317" spans="3:12">
      <c r="H4317" s="1490"/>
      <c r="I4317" s="1490"/>
      <c r="J4317" s="1490"/>
      <c r="K4317" s="1490"/>
      <c r="L4317" s="1490"/>
    </row>
    <row r="4318" spans="3:12">
      <c r="H4318" s="1490"/>
      <c r="I4318" s="1490"/>
      <c r="J4318" s="1490"/>
      <c r="K4318" s="1490"/>
      <c r="L4318" s="1490"/>
    </row>
    <row r="4319" spans="3:12">
      <c r="H4319" s="1490"/>
      <c r="I4319" s="1490"/>
      <c r="J4319" s="1490"/>
      <c r="K4319" s="1490"/>
      <c r="L4319" s="1490"/>
    </row>
    <row r="4320" spans="3:12">
      <c r="H4320" s="1490"/>
      <c r="I4320" s="1490"/>
      <c r="J4320" s="1490"/>
      <c r="K4320" s="1490"/>
      <c r="L4320" s="1490"/>
    </row>
    <row r="4321" spans="8:12">
      <c r="H4321" s="1490"/>
      <c r="I4321" s="1490"/>
      <c r="J4321" s="1490"/>
      <c r="K4321" s="1490"/>
      <c r="L4321" s="1490"/>
    </row>
    <row r="4322" spans="8:12">
      <c r="H4322" s="1490"/>
      <c r="I4322" s="1490"/>
      <c r="J4322" s="1490"/>
      <c r="K4322" s="1490"/>
      <c r="L4322" s="1490"/>
    </row>
    <row r="4323" spans="8:12">
      <c r="H4323" s="1490"/>
      <c r="I4323" s="1490"/>
      <c r="J4323" s="1490"/>
      <c r="K4323" s="1490"/>
      <c r="L4323" s="1490"/>
    </row>
    <row r="4324" spans="8:12">
      <c r="H4324" s="1490"/>
      <c r="I4324" s="1490"/>
      <c r="J4324" s="1490"/>
      <c r="K4324" s="1490"/>
      <c r="L4324" s="1490"/>
    </row>
    <row r="4325" spans="8:12">
      <c r="H4325" s="1490"/>
      <c r="I4325" s="1490"/>
      <c r="J4325" s="1490"/>
      <c r="K4325" s="1490"/>
      <c r="L4325" s="1490"/>
    </row>
    <row r="4326" spans="8:12">
      <c r="H4326" s="1490"/>
      <c r="I4326" s="1490"/>
      <c r="J4326" s="1490"/>
      <c r="K4326" s="1490"/>
      <c r="L4326" s="1490"/>
    </row>
    <row r="4327" spans="8:12">
      <c r="H4327" s="1490"/>
      <c r="I4327" s="1490"/>
      <c r="J4327" s="1490"/>
      <c r="K4327" s="1490"/>
      <c r="L4327" s="1490"/>
    </row>
    <row r="4328" spans="8:12">
      <c r="H4328" s="1490"/>
      <c r="I4328" s="1490"/>
      <c r="J4328" s="1490"/>
      <c r="K4328" s="1490"/>
      <c r="L4328" s="1490"/>
    </row>
    <row r="4329" spans="8:12">
      <c r="H4329" s="1490"/>
      <c r="I4329" s="1490"/>
      <c r="J4329" s="1490"/>
      <c r="K4329" s="1490"/>
      <c r="L4329" s="1490"/>
    </row>
    <row r="4330" spans="8:12">
      <c r="H4330" s="1490"/>
      <c r="I4330" s="1490"/>
      <c r="J4330" s="1490"/>
      <c r="K4330" s="1490"/>
      <c r="L4330" s="1490"/>
    </row>
    <row r="4331" spans="8:12">
      <c r="H4331" s="1490"/>
      <c r="I4331" s="1490"/>
      <c r="J4331" s="1490"/>
      <c r="K4331" s="1490"/>
      <c r="L4331" s="1490"/>
    </row>
    <row r="4332" spans="8:12">
      <c r="H4332" s="1490"/>
      <c r="I4332" s="1490"/>
      <c r="J4332" s="1490"/>
      <c r="K4332" s="1490"/>
      <c r="L4332" s="1490"/>
    </row>
    <row r="4333" spans="8:12">
      <c r="H4333" s="1490"/>
      <c r="I4333" s="1490"/>
      <c r="J4333" s="1490"/>
      <c r="K4333" s="1490"/>
      <c r="L4333" s="1490"/>
    </row>
    <row r="4334" spans="8:12">
      <c r="H4334" s="1490"/>
      <c r="I4334" s="1490"/>
      <c r="J4334" s="1490"/>
      <c r="K4334" s="1490"/>
      <c r="L4334" s="1490"/>
    </row>
    <row r="4335" spans="8:12">
      <c r="H4335" s="1490"/>
      <c r="I4335" s="1490"/>
      <c r="J4335" s="1490"/>
      <c r="K4335" s="1490"/>
      <c r="L4335" s="1490"/>
    </row>
    <row r="4336" spans="8:12">
      <c r="H4336" s="1490"/>
      <c r="I4336" s="1490"/>
      <c r="J4336" s="1490"/>
      <c r="K4336" s="1490"/>
      <c r="L4336" s="1490"/>
    </row>
    <row r="4337" spans="8:12">
      <c r="H4337" s="1490"/>
      <c r="I4337" s="1490"/>
      <c r="J4337" s="1490"/>
      <c r="K4337" s="1490"/>
      <c r="L4337" s="1490"/>
    </row>
    <row r="4338" spans="8:12">
      <c r="H4338" s="1490"/>
      <c r="I4338" s="1490"/>
      <c r="J4338" s="1490"/>
      <c r="K4338" s="1490"/>
      <c r="L4338" s="1490"/>
    </row>
    <row r="4339" spans="8:12">
      <c r="H4339" s="1490"/>
      <c r="I4339" s="1490"/>
      <c r="J4339" s="1490"/>
      <c r="K4339" s="1490"/>
      <c r="L4339" s="1490"/>
    </row>
    <row r="4340" spans="8:12">
      <c r="H4340" s="1490"/>
      <c r="I4340" s="1490"/>
      <c r="J4340" s="1490"/>
      <c r="K4340" s="1490"/>
      <c r="L4340" s="1490"/>
    </row>
    <row r="4341" spans="8:12">
      <c r="H4341" s="1490"/>
      <c r="I4341" s="1490"/>
      <c r="J4341" s="1490"/>
      <c r="K4341" s="1490"/>
      <c r="L4341" s="1490"/>
    </row>
    <row r="4342" spans="8:12">
      <c r="H4342" s="1490"/>
      <c r="I4342" s="1490"/>
      <c r="J4342" s="1490"/>
      <c r="K4342" s="1490"/>
      <c r="L4342" s="1490"/>
    </row>
    <row r="4343" spans="8:12">
      <c r="H4343" s="1490"/>
      <c r="I4343" s="1490"/>
      <c r="J4343" s="1490"/>
      <c r="K4343" s="1490"/>
      <c r="L4343" s="1490"/>
    </row>
    <row r="4344" spans="8:12">
      <c r="H4344" s="1490"/>
      <c r="I4344" s="1490"/>
      <c r="J4344" s="1490"/>
      <c r="K4344" s="1490"/>
      <c r="L4344" s="1490"/>
    </row>
    <row r="4345" spans="8:12">
      <c r="H4345" s="1490"/>
      <c r="I4345" s="1490"/>
      <c r="J4345" s="1490"/>
      <c r="K4345" s="1490"/>
      <c r="L4345" s="1490"/>
    </row>
    <row r="4346" spans="8:12">
      <c r="H4346" s="1490"/>
      <c r="I4346" s="1490"/>
      <c r="J4346" s="1490"/>
      <c r="K4346" s="1490"/>
      <c r="L4346" s="1490"/>
    </row>
    <row r="4347" spans="8:12">
      <c r="H4347" s="1490"/>
      <c r="I4347" s="1490"/>
      <c r="J4347" s="1490"/>
      <c r="K4347" s="1490"/>
      <c r="L4347" s="1490"/>
    </row>
    <row r="4348" spans="8:12">
      <c r="H4348" s="1490"/>
      <c r="I4348" s="1490"/>
      <c r="J4348" s="1490"/>
      <c r="K4348" s="1490"/>
      <c r="L4348" s="1490"/>
    </row>
    <row r="4349" spans="8:12">
      <c r="H4349" s="1490"/>
      <c r="I4349" s="1490"/>
      <c r="J4349" s="1490"/>
      <c r="K4349" s="1490"/>
      <c r="L4349" s="1490"/>
    </row>
    <row r="4350" spans="8:12">
      <c r="H4350" s="1490"/>
      <c r="I4350" s="1490"/>
      <c r="J4350" s="1490"/>
      <c r="K4350" s="1490"/>
      <c r="L4350" s="1490"/>
    </row>
    <row r="4351" spans="8:12">
      <c r="H4351" s="1490"/>
      <c r="I4351" s="1490"/>
      <c r="J4351" s="1490"/>
      <c r="K4351" s="1490"/>
      <c r="L4351" s="1490"/>
    </row>
    <row r="4352" spans="8:12">
      <c r="H4352" s="1490"/>
      <c r="I4352" s="1490"/>
      <c r="J4352" s="1490"/>
      <c r="K4352" s="1490"/>
      <c r="L4352" s="1490"/>
    </row>
    <row r="4353" spans="8:12">
      <c r="H4353" s="1490"/>
      <c r="I4353" s="1490"/>
      <c r="J4353" s="1490"/>
      <c r="K4353" s="1490"/>
      <c r="L4353" s="1490"/>
    </row>
    <row r="4354" spans="8:12">
      <c r="H4354" s="1490"/>
      <c r="I4354" s="1490"/>
      <c r="J4354" s="1490"/>
      <c r="K4354" s="1490"/>
      <c r="L4354" s="1490"/>
    </row>
    <row r="4355" spans="8:12">
      <c r="H4355" s="1490"/>
      <c r="I4355" s="1490"/>
      <c r="J4355" s="1490"/>
      <c r="K4355" s="1490"/>
      <c r="L4355" s="1490"/>
    </row>
    <row r="4356" spans="8:12">
      <c r="H4356" s="1490"/>
      <c r="I4356" s="1490"/>
      <c r="J4356" s="1490"/>
      <c r="K4356" s="1490"/>
      <c r="L4356" s="1490"/>
    </row>
    <row r="4357" spans="8:12">
      <c r="H4357" s="1490"/>
      <c r="I4357" s="1490"/>
      <c r="J4357" s="1490"/>
      <c r="K4357" s="1490"/>
      <c r="L4357" s="1490"/>
    </row>
    <row r="4358" spans="8:12">
      <c r="H4358" s="1490"/>
      <c r="I4358" s="1490"/>
      <c r="J4358" s="1490"/>
      <c r="K4358" s="1490"/>
      <c r="L4358" s="1490"/>
    </row>
    <row r="4359" spans="8:12">
      <c r="H4359" s="1490"/>
      <c r="I4359" s="1490"/>
      <c r="J4359" s="1490"/>
      <c r="K4359" s="1490"/>
      <c r="L4359" s="1490"/>
    </row>
    <row r="4360" spans="8:12">
      <c r="H4360" s="1490"/>
      <c r="I4360" s="1490"/>
      <c r="J4360" s="1490"/>
      <c r="K4360" s="1490"/>
      <c r="L4360" s="1490"/>
    </row>
    <row r="4361" spans="8:12">
      <c r="H4361" s="1490"/>
      <c r="I4361" s="1490"/>
      <c r="J4361" s="1490"/>
      <c r="K4361" s="1490"/>
      <c r="L4361" s="1490"/>
    </row>
    <row r="4362" spans="8:12">
      <c r="H4362" s="1490"/>
      <c r="I4362" s="1490"/>
      <c r="J4362" s="1490"/>
      <c r="K4362" s="1490"/>
      <c r="L4362" s="1490"/>
    </row>
    <row r="4363" spans="8:12">
      <c r="H4363" s="1490"/>
      <c r="I4363" s="1490"/>
      <c r="J4363" s="1490"/>
      <c r="K4363" s="1490"/>
      <c r="L4363" s="1490"/>
    </row>
    <row r="4364" spans="8:12">
      <c r="H4364" s="1490"/>
      <c r="I4364" s="1490"/>
      <c r="J4364" s="1490"/>
      <c r="K4364" s="1490"/>
      <c r="L4364" s="1490"/>
    </row>
    <row r="4365" spans="8:12">
      <c r="H4365" s="1490"/>
      <c r="I4365" s="1490"/>
      <c r="J4365" s="1490"/>
      <c r="K4365" s="1490"/>
      <c r="L4365" s="1490"/>
    </row>
    <row r="4366" spans="8:12">
      <c r="H4366" s="1490"/>
      <c r="I4366" s="1490"/>
      <c r="J4366" s="1490"/>
      <c r="K4366" s="1490"/>
      <c r="L4366" s="1490"/>
    </row>
    <row r="4367" spans="8:12">
      <c r="H4367" s="1490"/>
      <c r="I4367" s="1490"/>
      <c r="J4367" s="1490"/>
      <c r="K4367" s="1490"/>
      <c r="L4367" s="1490"/>
    </row>
    <row r="4368" spans="8:12">
      <c r="H4368" s="1490"/>
      <c r="I4368" s="1490"/>
      <c r="J4368" s="1490"/>
      <c r="K4368" s="1490"/>
      <c r="L4368" s="1490"/>
    </row>
    <row r="4369" spans="8:12">
      <c r="H4369" s="1490"/>
      <c r="I4369" s="1490"/>
      <c r="J4369" s="1490"/>
      <c r="K4369" s="1490"/>
      <c r="L4369" s="1490"/>
    </row>
    <row r="4370" spans="8:12">
      <c r="H4370" s="1490"/>
      <c r="I4370" s="1490"/>
      <c r="J4370" s="1490"/>
      <c r="K4370" s="1490"/>
      <c r="L4370" s="1490"/>
    </row>
    <row r="4371" spans="8:12">
      <c r="H4371" s="1490"/>
      <c r="I4371" s="1490"/>
      <c r="J4371" s="1490"/>
      <c r="K4371" s="1490"/>
      <c r="L4371" s="1490"/>
    </row>
    <row r="4372" spans="8:12">
      <c r="H4372" s="1490"/>
      <c r="I4372" s="1490"/>
      <c r="J4372" s="1490"/>
      <c r="K4372" s="1490"/>
      <c r="L4372" s="1490"/>
    </row>
    <row r="4373" spans="8:12">
      <c r="H4373" s="1490"/>
      <c r="I4373" s="1490"/>
      <c r="J4373" s="1490"/>
      <c r="K4373" s="1490"/>
      <c r="L4373" s="1490"/>
    </row>
    <row r="4374" spans="8:12">
      <c r="H4374" s="1490"/>
      <c r="I4374" s="1490"/>
      <c r="J4374" s="1490"/>
      <c r="K4374" s="1490"/>
      <c r="L4374" s="1490"/>
    </row>
    <row r="4375" spans="8:12">
      <c r="H4375" s="1490"/>
      <c r="I4375" s="1490"/>
      <c r="J4375" s="1490"/>
      <c r="K4375" s="1490"/>
      <c r="L4375" s="1490"/>
    </row>
    <row r="4376" spans="8:12">
      <c r="H4376" s="1490"/>
      <c r="I4376" s="1490"/>
      <c r="J4376" s="1490"/>
      <c r="K4376" s="1490"/>
      <c r="L4376" s="1490"/>
    </row>
    <row r="4377" spans="8:12">
      <c r="H4377" s="1490"/>
      <c r="I4377" s="1490"/>
      <c r="J4377" s="1490"/>
      <c r="K4377" s="1490"/>
      <c r="L4377" s="1490"/>
    </row>
    <row r="4378" spans="8:12">
      <c r="H4378" s="1490"/>
      <c r="I4378" s="1490"/>
      <c r="J4378" s="1490"/>
      <c r="K4378" s="1490"/>
      <c r="L4378" s="1490"/>
    </row>
    <row r="4379" spans="8:12">
      <c r="H4379" s="1490"/>
      <c r="I4379" s="1490"/>
      <c r="J4379" s="1490"/>
      <c r="K4379" s="1490"/>
      <c r="L4379" s="1490"/>
    </row>
    <row r="4380" spans="8:12">
      <c r="H4380" s="1490"/>
      <c r="I4380" s="1490"/>
      <c r="J4380" s="1490"/>
      <c r="K4380" s="1490"/>
      <c r="L4380" s="1490"/>
    </row>
    <row r="4381" spans="8:12">
      <c r="H4381" s="1490"/>
      <c r="I4381" s="1490"/>
      <c r="J4381" s="1490"/>
      <c r="K4381" s="1490"/>
      <c r="L4381" s="1490"/>
    </row>
    <row r="4382" spans="8:12">
      <c r="H4382" s="1490"/>
      <c r="I4382" s="1490"/>
      <c r="J4382" s="1490"/>
      <c r="K4382" s="1490"/>
      <c r="L4382" s="1490"/>
    </row>
    <row r="4383" spans="8:12">
      <c r="H4383" s="1490"/>
      <c r="I4383" s="1490"/>
      <c r="J4383" s="1490"/>
      <c r="K4383" s="1490"/>
      <c r="L4383" s="1490"/>
    </row>
    <row r="4384" spans="8:12">
      <c r="H4384" s="1490"/>
      <c r="I4384" s="1490"/>
      <c r="J4384" s="1490"/>
      <c r="K4384" s="1490"/>
      <c r="L4384" s="1490"/>
    </row>
    <row r="4385" spans="8:12">
      <c r="H4385" s="1490"/>
      <c r="I4385" s="1490"/>
      <c r="J4385" s="1490"/>
      <c r="K4385" s="1490"/>
      <c r="L4385" s="1490"/>
    </row>
    <row r="4386" spans="8:12">
      <c r="H4386" s="1490"/>
      <c r="I4386" s="1490"/>
      <c r="J4386" s="1490"/>
      <c r="K4386" s="1490"/>
      <c r="L4386" s="1490"/>
    </row>
    <row r="4387" spans="8:12">
      <c r="H4387" s="1490"/>
      <c r="I4387" s="1490"/>
      <c r="J4387" s="1490"/>
      <c r="K4387" s="1490"/>
      <c r="L4387" s="1490"/>
    </row>
    <row r="4388" spans="8:12">
      <c r="H4388" s="1490"/>
      <c r="I4388" s="1490"/>
      <c r="J4388" s="1490"/>
      <c r="K4388" s="1490"/>
      <c r="L4388" s="1490"/>
    </row>
    <row r="4389" spans="8:12">
      <c r="H4389" s="1490"/>
      <c r="I4389" s="1490"/>
      <c r="J4389" s="1490"/>
      <c r="K4389" s="1490"/>
      <c r="L4389" s="1490"/>
    </row>
    <row r="4390" spans="8:12">
      <c r="H4390" s="1490"/>
      <c r="I4390" s="1490"/>
      <c r="J4390" s="1490"/>
      <c r="K4390" s="1490"/>
      <c r="L4390" s="1490"/>
    </row>
    <row r="4391" spans="8:12">
      <c r="H4391" s="1490"/>
      <c r="I4391" s="1490"/>
      <c r="J4391" s="1490"/>
      <c r="K4391" s="1490"/>
      <c r="L4391" s="1490"/>
    </row>
    <row r="4392" spans="8:12">
      <c r="H4392" s="1490"/>
      <c r="I4392" s="1490"/>
      <c r="J4392" s="1490"/>
      <c r="K4392" s="1490"/>
      <c r="L4392" s="1490"/>
    </row>
    <row r="4393" spans="8:12">
      <c r="H4393" s="1490"/>
      <c r="I4393" s="1490"/>
      <c r="J4393" s="1490"/>
      <c r="K4393" s="1490"/>
      <c r="L4393" s="1490"/>
    </row>
    <row r="4394" spans="8:12">
      <c r="H4394" s="1490"/>
      <c r="I4394" s="1490"/>
      <c r="J4394" s="1490"/>
      <c r="K4394" s="1490"/>
      <c r="L4394" s="1490"/>
    </row>
    <row r="4395" spans="8:12">
      <c r="H4395" s="1490"/>
      <c r="I4395" s="1490"/>
      <c r="J4395" s="1490"/>
      <c r="K4395" s="1490"/>
      <c r="L4395" s="1490"/>
    </row>
    <row r="4396" spans="8:12">
      <c r="H4396" s="1490"/>
      <c r="I4396" s="1490"/>
      <c r="J4396" s="1490"/>
      <c r="K4396" s="1490"/>
      <c r="L4396" s="1490"/>
    </row>
    <row r="4397" spans="8:12">
      <c r="H4397" s="1490"/>
      <c r="I4397" s="1490"/>
      <c r="J4397" s="1490"/>
      <c r="K4397" s="1490"/>
      <c r="L4397" s="1490"/>
    </row>
    <row r="4398" spans="8:12">
      <c r="H4398" s="1490"/>
      <c r="I4398" s="1490"/>
      <c r="J4398" s="1490"/>
      <c r="K4398" s="1490"/>
      <c r="L4398" s="1490"/>
    </row>
    <row r="4399" spans="8:12">
      <c r="H4399" s="1490"/>
      <c r="I4399" s="1490"/>
      <c r="J4399" s="1490"/>
      <c r="K4399" s="1490"/>
      <c r="L4399" s="1490"/>
    </row>
    <row r="4400" spans="8:12">
      <c r="H4400" s="1490"/>
      <c r="I4400" s="1490"/>
      <c r="J4400" s="1490"/>
      <c r="K4400" s="1490"/>
      <c r="L4400" s="1490"/>
    </row>
    <row r="4401" spans="8:12">
      <c r="H4401" s="1490"/>
      <c r="I4401" s="1490"/>
      <c r="J4401" s="1490"/>
      <c r="K4401" s="1490"/>
      <c r="L4401" s="1490"/>
    </row>
    <row r="4402" spans="8:12">
      <c r="H4402" s="1490"/>
      <c r="I4402" s="1490"/>
      <c r="J4402" s="1490"/>
      <c r="K4402" s="1490"/>
      <c r="L4402" s="1490"/>
    </row>
    <row r="4403" spans="8:12">
      <c r="H4403" s="1490"/>
      <c r="I4403" s="1490"/>
      <c r="J4403" s="1490"/>
      <c r="K4403" s="1490"/>
      <c r="L4403" s="1490"/>
    </row>
    <row r="4404" spans="8:12">
      <c r="H4404" s="1490"/>
      <c r="I4404" s="1490"/>
      <c r="J4404" s="1490"/>
      <c r="K4404" s="1490"/>
      <c r="L4404" s="1490"/>
    </row>
    <row r="4405" spans="8:12">
      <c r="H4405" s="1490"/>
      <c r="I4405" s="1490"/>
      <c r="J4405" s="1490"/>
      <c r="K4405" s="1490"/>
      <c r="L4405" s="1490"/>
    </row>
    <row r="4406" spans="8:12">
      <c r="H4406" s="1490"/>
      <c r="I4406" s="1490"/>
      <c r="J4406" s="1490"/>
      <c r="K4406" s="1490"/>
      <c r="L4406" s="1490"/>
    </row>
    <row r="4407" spans="8:12">
      <c r="H4407" s="1490"/>
      <c r="I4407" s="1490"/>
      <c r="J4407" s="1490"/>
      <c r="K4407" s="1490"/>
      <c r="L4407" s="1490"/>
    </row>
    <row r="4408" spans="8:12">
      <c r="H4408" s="1490"/>
      <c r="I4408" s="1490"/>
      <c r="J4408" s="1490"/>
      <c r="K4408" s="1490"/>
      <c r="L4408" s="1490"/>
    </row>
    <row r="4409" spans="8:12">
      <c r="H4409" s="1490"/>
      <c r="I4409" s="1490"/>
      <c r="J4409" s="1490"/>
      <c r="K4409" s="1490"/>
      <c r="L4409" s="1490"/>
    </row>
    <row r="4410" spans="8:12">
      <c r="H4410" s="1490"/>
      <c r="I4410" s="1490"/>
      <c r="J4410" s="1490"/>
      <c r="K4410" s="1490"/>
      <c r="L4410" s="1490"/>
    </row>
    <row r="4411" spans="8:12">
      <c r="H4411" s="1490"/>
      <c r="I4411" s="1490"/>
      <c r="J4411" s="1490"/>
      <c r="K4411" s="1490"/>
      <c r="L4411" s="1490"/>
    </row>
    <row r="4412" spans="8:12">
      <c r="H4412" s="1490"/>
      <c r="I4412" s="1490"/>
      <c r="J4412" s="1490"/>
      <c r="K4412" s="1490"/>
      <c r="L4412" s="1490"/>
    </row>
    <row r="4413" spans="8:12">
      <c r="H4413" s="1490"/>
      <c r="I4413" s="1490"/>
      <c r="J4413" s="1490"/>
      <c r="K4413" s="1490"/>
      <c r="L4413" s="1490"/>
    </row>
    <row r="4414" spans="8:12">
      <c r="H4414" s="1490"/>
      <c r="I4414" s="1490"/>
      <c r="J4414" s="1490"/>
      <c r="K4414" s="1490"/>
      <c r="L4414" s="1490"/>
    </row>
    <row r="4415" spans="8:12">
      <c r="H4415" s="1490"/>
      <c r="I4415" s="1490"/>
      <c r="J4415" s="1490"/>
      <c r="K4415" s="1490"/>
      <c r="L4415" s="1490"/>
    </row>
    <row r="4416" spans="8:12">
      <c r="H4416" s="1490"/>
      <c r="I4416" s="1490"/>
      <c r="J4416" s="1490"/>
      <c r="K4416" s="1490"/>
      <c r="L4416" s="1490"/>
    </row>
    <row r="4417" spans="8:12">
      <c r="H4417" s="1490"/>
      <c r="I4417" s="1490"/>
      <c r="J4417" s="1490"/>
      <c r="K4417" s="1490"/>
      <c r="L4417" s="1490"/>
    </row>
    <row r="4418" spans="8:12">
      <c r="H4418" s="1490"/>
      <c r="I4418" s="1490"/>
      <c r="J4418" s="1490"/>
      <c r="K4418" s="1490"/>
      <c r="L4418" s="1490"/>
    </row>
    <row r="4419" spans="8:12">
      <c r="H4419" s="1490"/>
      <c r="I4419" s="1490"/>
      <c r="J4419" s="1490"/>
      <c r="K4419" s="1490"/>
      <c r="L4419" s="1490"/>
    </row>
  </sheetData>
  <autoFilter ref="I1:I4316">
    <filterColumn colId="0">
      <customFilters and="1">
        <customFilter operator="greaterThan" val="0"/>
      </customFilters>
    </filterColumn>
  </autoFilter>
  <mergeCells count="81">
    <mergeCell ref="A4209:A4243"/>
    <mergeCell ref="A3536:A3570"/>
    <mergeCell ref="A3932:A3966"/>
    <mergeCell ref="A3862:A3896"/>
    <mergeCell ref="A3897:A3931"/>
    <mergeCell ref="A3431:A3465"/>
    <mergeCell ref="A4174:A4208"/>
    <mergeCell ref="A3466:A3500"/>
    <mergeCell ref="A4071:A4105"/>
    <mergeCell ref="A4036:A4070"/>
    <mergeCell ref="A3967:A4002"/>
    <mergeCell ref="A4003:A4035"/>
    <mergeCell ref="A3606:A3640"/>
    <mergeCell ref="A3827:A3861"/>
    <mergeCell ref="A3396:A3430"/>
    <mergeCell ref="A3571:A3605"/>
    <mergeCell ref="A3501:A3535"/>
    <mergeCell ref="A4288:A4291"/>
    <mergeCell ref="A2426:A2432"/>
    <mergeCell ref="A2540:A2545"/>
    <mergeCell ref="A2484:A2539"/>
    <mergeCell ref="A2819:A2853"/>
    <mergeCell ref="A4244:A4278"/>
    <mergeCell ref="A3641:A3708"/>
    <mergeCell ref="A3709:A3826"/>
    <mergeCell ref="A4106:A4140"/>
    <mergeCell ref="A4141:A4173"/>
    <mergeCell ref="A3291:A3325"/>
    <mergeCell ref="A2889:A2923"/>
    <mergeCell ref="A2959:A2993"/>
    <mergeCell ref="A3326:A3360"/>
    <mergeCell ref="A3029:A3080"/>
    <mergeCell ref="A3151:A3185"/>
    <mergeCell ref="A3186:A3220"/>
    <mergeCell ref="A3081:A3115"/>
    <mergeCell ref="A2994:A3028"/>
    <mergeCell ref="A3116:A3150"/>
    <mergeCell ref="A2924:A2958"/>
    <mergeCell ref="A2474:A2483"/>
    <mergeCell ref="A2354:A2425"/>
    <mergeCell ref="A2549:A2551"/>
    <mergeCell ref="A2442:A2473"/>
    <mergeCell ref="A3256:A3290"/>
    <mergeCell ref="A3221:A3255"/>
    <mergeCell ref="A2854:A2888"/>
    <mergeCell ref="A2587:A2621"/>
    <mergeCell ref="A2622:A2670"/>
    <mergeCell ref="A766:A819"/>
    <mergeCell ref="A676:A724"/>
    <mergeCell ref="A2213:A2353"/>
    <mergeCell ref="A2546:A2548"/>
    <mergeCell ref="A2134:A2212"/>
    <mergeCell ref="A2433:A2438"/>
    <mergeCell ref="A2439:A2441"/>
    <mergeCell ref="A2552:A2586"/>
    <mergeCell ref="A1266:A1387"/>
    <mergeCell ref="A1971:A2047"/>
    <mergeCell ref="A1388:A1457"/>
    <mergeCell ref="A881:A919"/>
    <mergeCell ref="A1000:A1099"/>
    <mergeCell ref="A920:A999"/>
    <mergeCell ref="A4:F4"/>
    <mergeCell ref="A8:A191"/>
    <mergeCell ref="A192:A318"/>
    <mergeCell ref="A319:A434"/>
    <mergeCell ref="A616:A675"/>
    <mergeCell ref="A820:A880"/>
    <mergeCell ref="A475:A562"/>
    <mergeCell ref="A563:A615"/>
    <mergeCell ref="A725:A765"/>
    <mergeCell ref="A435:A474"/>
    <mergeCell ref="A2671:A2818"/>
    <mergeCell ref="A1458:A1535"/>
    <mergeCell ref="A1536:A1584"/>
    <mergeCell ref="A1877:A1970"/>
    <mergeCell ref="A3361:A3395"/>
    <mergeCell ref="A1100:A1166"/>
    <mergeCell ref="A1167:A1265"/>
    <mergeCell ref="A2048:A2133"/>
    <mergeCell ref="A1585:A1781"/>
    <mergeCell ref="A1782:A1876"/>
  </mergeCells>
  <phoneticPr fontId="0" type="noConversion"/>
  <printOptions horizontalCentered="1"/>
  <pageMargins left="0.39370078740157483" right="0" top="7.874015748031496E-2" bottom="0" header="0" footer="0"/>
  <pageSetup paperSize="9" scale="6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view="pageBreakPreview" zoomScale="73" zoomScaleNormal="65" zoomScaleSheetLayoutView="73" workbookViewId="0">
      <pane xSplit="2" ySplit="7" topLeftCell="D106" activePane="bottomRight" state="frozen"/>
      <selection pane="topRight" activeCell="C1" sqref="C1"/>
      <selection pane="bottomLeft" activeCell="A8" sqref="A8"/>
      <selection pane="bottomRight" activeCell="M67" sqref="M67:Q67"/>
    </sheetView>
  </sheetViews>
  <sheetFormatPr defaultRowHeight="18.75"/>
  <cols>
    <col min="1" max="1" width="8.28515625" style="92" bestFit="1" customWidth="1"/>
    <col min="2" max="2" width="51.42578125" style="92" customWidth="1"/>
    <col min="3" max="3" width="20.7109375" style="92" customWidth="1"/>
    <col min="4" max="4" width="22.5703125" style="92" customWidth="1"/>
    <col min="5" max="5" width="21.5703125" style="92" customWidth="1"/>
    <col min="6" max="6" width="16.85546875" style="7" hidden="1" customWidth="1"/>
    <col min="7" max="7" width="13.7109375" style="7" hidden="1" customWidth="1"/>
    <col min="8" max="8" width="22.7109375" style="92" customWidth="1"/>
    <col min="9" max="9" width="9.140625" style="92"/>
    <col min="10" max="11" width="13.42578125" style="92" bestFit="1" customWidth="1"/>
    <col min="12" max="12" width="9.140625" style="92"/>
    <col min="13" max="15" width="21.42578125" style="92" customWidth="1"/>
    <col min="16" max="16384" width="9.140625" style="92"/>
  </cols>
  <sheetData>
    <row r="1" spans="1:17" s="17" customFormat="1" ht="20.25" customHeight="1">
      <c r="B1" s="396"/>
      <c r="C1" s="203"/>
      <c r="D1" s="204" t="s">
        <v>1296</v>
      </c>
      <c r="F1"/>
      <c r="G1" s="18"/>
      <c r="H1" s="1496">
        <v>1</v>
      </c>
      <c r="I1" s="1496"/>
      <c r="J1" s="1496"/>
      <c r="K1" s="1496"/>
      <c r="L1" s="1496"/>
      <c r="M1" s="207"/>
      <c r="N1" s="207"/>
      <c r="O1" s="207"/>
      <c r="P1" s="207"/>
      <c r="Q1" s="207"/>
    </row>
    <row r="2" spans="1:17" s="17" customFormat="1" ht="18" customHeight="1">
      <c r="B2" s="397"/>
      <c r="C2" s="205"/>
      <c r="D2" s="204" t="s">
        <v>368</v>
      </c>
      <c r="E2" s="92"/>
      <c r="F2"/>
      <c r="G2" s="18"/>
      <c r="H2" s="1496">
        <v>1</v>
      </c>
      <c r="I2" s="1496"/>
      <c r="J2" s="1496"/>
      <c r="K2" s="1496"/>
      <c r="L2" s="1496"/>
      <c r="M2" s="207"/>
      <c r="N2" s="207"/>
      <c r="O2" s="207"/>
      <c r="P2" s="207"/>
      <c r="Q2" s="207"/>
    </row>
    <row r="3" spans="1:17" s="17" customFormat="1" ht="18" customHeight="1">
      <c r="B3" s="397"/>
      <c r="C3" s="205"/>
      <c r="D3" s="204" t="s">
        <v>2157</v>
      </c>
      <c r="E3" s="92"/>
      <c r="F3"/>
      <c r="G3" s="18"/>
      <c r="H3" s="1496">
        <v>1</v>
      </c>
      <c r="I3" s="1496"/>
      <c r="J3" s="1496"/>
      <c r="K3" s="1496"/>
      <c r="L3" s="1496"/>
      <c r="M3" s="207"/>
      <c r="N3" s="207"/>
      <c r="O3" s="207"/>
      <c r="P3" s="207"/>
      <c r="Q3" s="207"/>
    </row>
    <row r="4" spans="1:17" s="17" customFormat="1" ht="60.6" customHeight="1">
      <c r="B4" s="1661" t="s">
        <v>963</v>
      </c>
      <c r="C4" s="1661"/>
      <c r="D4" s="1661"/>
      <c r="E4" s="1661"/>
      <c r="F4" s="499"/>
      <c r="G4" s="5"/>
      <c r="H4" s="1496">
        <v>1</v>
      </c>
      <c r="I4" s="1496"/>
      <c r="J4" s="1496"/>
      <c r="K4" s="1496"/>
      <c r="L4" s="1496"/>
      <c r="M4" s="207"/>
      <c r="N4" s="207"/>
      <c r="O4" s="207"/>
      <c r="P4" s="207"/>
      <c r="Q4" s="207"/>
    </row>
    <row r="5" spans="1:17" ht="16.5" customHeight="1">
      <c r="B5" s="398"/>
      <c r="C5" s="206"/>
      <c r="D5" s="206"/>
      <c r="E5" s="128" t="s">
        <v>982</v>
      </c>
      <c r="F5" s="105"/>
      <c r="G5" s="106"/>
      <c r="H5" s="1440">
        <v>1</v>
      </c>
      <c r="I5" s="1440"/>
      <c r="J5" s="1440"/>
      <c r="K5" s="1440"/>
      <c r="L5" s="1440"/>
    </row>
    <row r="6" spans="1:17" ht="54.75" customHeight="1">
      <c r="A6" s="198" t="s">
        <v>870</v>
      </c>
      <c r="B6" s="198" t="s">
        <v>869</v>
      </c>
      <c r="C6" s="198" t="s">
        <v>984</v>
      </c>
      <c r="D6" s="198" t="s">
        <v>64</v>
      </c>
      <c r="E6" s="198" t="s">
        <v>65</v>
      </c>
      <c r="F6" s="105"/>
      <c r="G6" s="106"/>
      <c r="H6" s="1440">
        <v>1</v>
      </c>
      <c r="I6" s="1440"/>
      <c r="J6" s="1440"/>
      <c r="K6" s="1440"/>
      <c r="L6" s="1440"/>
    </row>
    <row r="7" spans="1:17" ht="18" customHeight="1">
      <c r="A7" s="103">
        <v>1</v>
      </c>
      <c r="B7" s="103">
        <v>2</v>
      </c>
      <c r="C7" s="103">
        <v>3</v>
      </c>
      <c r="D7" s="198">
        <v>4</v>
      </c>
      <c r="E7" s="198">
        <v>5</v>
      </c>
      <c r="F7" s="105"/>
      <c r="G7" s="106"/>
      <c r="H7" s="1440">
        <v>1</v>
      </c>
      <c r="I7" s="1440"/>
      <c r="J7" s="1440"/>
      <c r="K7" s="1440"/>
      <c r="L7" s="1440"/>
    </row>
    <row r="8" spans="1:17" ht="18" customHeight="1">
      <c r="A8" s="1287"/>
      <c r="B8" s="1287" t="s">
        <v>54</v>
      </c>
      <c r="C8" s="1288">
        <f>C9</f>
        <v>408310</v>
      </c>
      <c r="D8" s="1288">
        <f>D9</f>
        <v>376312</v>
      </c>
      <c r="E8" s="1288">
        <f>E9</f>
        <v>31998</v>
      </c>
      <c r="F8" s="1285"/>
      <c r="G8" s="1285"/>
      <c r="H8" s="1502">
        <f t="shared" ref="H8:H98" si="0">D8+E8-C8</f>
        <v>0</v>
      </c>
      <c r="I8" s="1440"/>
      <c r="J8" s="1440"/>
      <c r="K8" s="1440"/>
      <c r="L8" s="1440"/>
    </row>
    <row r="9" spans="1:17" s="507" customFormat="1" ht="56.25">
      <c r="A9" s="504" t="s">
        <v>872</v>
      </c>
      <c r="B9" s="505" t="s">
        <v>873</v>
      </c>
      <c r="C9" s="806">
        <f>SUM(C11:C62)</f>
        <v>408310</v>
      </c>
      <c r="D9" s="806">
        <f>SUM(D11:D62)</f>
        <v>376312</v>
      </c>
      <c r="E9" s="806">
        <f>SUM(E11:E62)</f>
        <v>31998</v>
      </c>
      <c r="F9" s="506"/>
      <c r="G9" s="506"/>
      <c r="H9" s="1502">
        <f t="shared" si="0"/>
        <v>0</v>
      </c>
      <c r="I9" s="1503"/>
      <c r="J9" s="1503" t="b">
        <f>D9=дод3!F24</f>
        <v>1</v>
      </c>
      <c r="K9" s="1503" t="b">
        <f>E9=дод3!J24</f>
        <v>1</v>
      </c>
      <c r="L9" s="1503"/>
    </row>
    <row r="10" spans="1:17" s="7" customFormat="1">
      <c r="A10" s="342"/>
      <c r="B10" s="342" t="s">
        <v>268</v>
      </c>
      <c r="C10" s="807"/>
      <c r="D10" s="807"/>
      <c r="E10" s="510"/>
      <c r="F10" s="232"/>
      <c r="G10" s="232"/>
      <c r="H10" s="1502">
        <f t="shared" si="0"/>
        <v>0</v>
      </c>
      <c r="I10" s="1435"/>
      <c r="J10" s="1435"/>
      <c r="K10" s="1435"/>
      <c r="L10" s="1435"/>
    </row>
    <row r="11" spans="1:17" s="7" customFormat="1" ht="56.25">
      <c r="A11" s="1247">
        <v>1</v>
      </c>
      <c r="B11" s="1248" t="s">
        <v>1952</v>
      </c>
      <c r="C11" s="1138">
        <v>10000</v>
      </c>
      <c r="D11" s="1138">
        <v>10000</v>
      </c>
      <c r="E11" s="1138">
        <v>0</v>
      </c>
      <c r="F11" s="232"/>
      <c r="G11" s="232"/>
      <c r="H11" s="1502">
        <f t="shared" si="0"/>
        <v>0</v>
      </c>
      <c r="I11" s="1435"/>
      <c r="J11" s="1435"/>
      <c r="K11" s="1435"/>
      <c r="L11" s="1435"/>
    </row>
    <row r="12" spans="1:17" s="7" customFormat="1" ht="75">
      <c r="A12" s="1247">
        <v>2</v>
      </c>
      <c r="B12" s="1248" t="s">
        <v>1953</v>
      </c>
      <c r="C12" s="1138">
        <v>8700</v>
      </c>
      <c r="D12" s="1138">
        <v>8700</v>
      </c>
      <c r="E12" s="1138">
        <v>0</v>
      </c>
      <c r="F12" s="232"/>
      <c r="G12" s="232"/>
      <c r="H12" s="1502">
        <f t="shared" si="0"/>
        <v>0</v>
      </c>
      <c r="I12" s="1435"/>
      <c r="J12" s="1435"/>
      <c r="K12" s="1435"/>
      <c r="L12" s="1435"/>
    </row>
    <row r="13" spans="1:17" s="7" customFormat="1" ht="75">
      <c r="A13" s="1247">
        <v>3</v>
      </c>
      <c r="B13" s="1248" t="s">
        <v>2018</v>
      </c>
      <c r="C13" s="1138">
        <v>69612</v>
      </c>
      <c r="D13" s="1138">
        <v>69612</v>
      </c>
      <c r="E13" s="1138">
        <v>0</v>
      </c>
      <c r="F13" s="232"/>
      <c r="G13" s="232"/>
      <c r="H13" s="1502">
        <f t="shared" si="0"/>
        <v>0</v>
      </c>
      <c r="I13" s="1435"/>
      <c r="J13" s="1435"/>
      <c r="K13" s="1435"/>
      <c r="L13" s="1435"/>
    </row>
    <row r="14" spans="1:17" s="7" customFormat="1" ht="56.25">
      <c r="A14" s="1247">
        <v>4</v>
      </c>
      <c r="B14" s="1248" t="s">
        <v>1952</v>
      </c>
      <c r="C14" s="1138">
        <v>10000</v>
      </c>
      <c r="D14" s="1138">
        <v>10000</v>
      </c>
      <c r="E14" s="1138">
        <v>0</v>
      </c>
      <c r="F14" s="232"/>
      <c r="G14" s="232"/>
      <c r="H14" s="1502">
        <f t="shared" si="0"/>
        <v>0</v>
      </c>
      <c r="I14" s="1435"/>
      <c r="J14" s="1435"/>
      <c r="K14" s="1435"/>
      <c r="L14" s="1435"/>
    </row>
    <row r="15" spans="1:17" s="7" customFormat="1" ht="131.25">
      <c r="A15" s="1247">
        <v>5</v>
      </c>
      <c r="B15" s="1248" t="s">
        <v>1954</v>
      </c>
      <c r="C15" s="1138">
        <v>20000</v>
      </c>
      <c r="D15" s="1138">
        <v>20000</v>
      </c>
      <c r="E15" s="1138">
        <v>0</v>
      </c>
      <c r="F15" s="232"/>
      <c r="G15" s="232"/>
      <c r="H15" s="1502">
        <f t="shared" si="0"/>
        <v>0</v>
      </c>
      <c r="I15" s="1435"/>
      <c r="J15" s="1435"/>
      <c r="K15" s="1435"/>
      <c r="L15" s="1435"/>
    </row>
    <row r="16" spans="1:17" s="7" customFormat="1" ht="56.25">
      <c r="A16" s="1247">
        <v>6</v>
      </c>
      <c r="B16" s="1248" t="s">
        <v>1955</v>
      </c>
      <c r="C16" s="1138">
        <v>8000</v>
      </c>
      <c r="D16" s="1138">
        <v>8000</v>
      </c>
      <c r="E16" s="1138">
        <v>0</v>
      </c>
      <c r="F16" s="232"/>
      <c r="G16" s="232"/>
      <c r="H16" s="1502">
        <f t="shared" si="0"/>
        <v>0</v>
      </c>
      <c r="I16" s="1435"/>
      <c r="J16" s="1435"/>
      <c r="K16" s="1435"/>
      <c r="L16" s="1435"/>
    </row>
    <row r="17" spans="1:12" s="7" customFormat="1" ht="93.75">
      <c r="A17" s="1247">
        <v>7</v>
      </c>
      <c r="B17" s="1249" t="s">
        <v>1902</v>
      </c>
      <c r="C17" s="1138">
        <v>30000</v>
      </c>
      <c r="D17" s="1138">
        <v>30000</v>
      </c>
      <c r="E17" s="1138">
        <v>0</v>
      </c>
      <c r="F17" s="232"/>
      <c r="G17" s="232"/>
      <c r="H17" s="1502">
        <f t="shared" si="0"/>
        <v>0</v>
      </c>
      <c r="I17" s="1435"/>
      <c r="J17" s="1435"/>
      <c r="K17" s="1435"/>
      <c r="L17" s="1435"/>
    </row>
    <row r="18" spans="1:12" s="7" customFormat="1" ht="37.5">
      <c r="A18" s="1247">
        <v>8</v>
      </c>
      <c r="B18" s="1248" t="s">
        <v>1956</v>
      </c>
      <c r="C18" s="1138">
        <v>100000</v>
      </c>
      <c r="D18" s="1138">
        <v>100000</v>
      </c>
      <c r="E18" s="1138">
        <v>0</v>
      </c>
      <c r="F18" s="232"/>
      <c r="G18" s="232"/>
      <c r="H18" s="1502">
        <f t="shared" si="0"/>
        <v>0</v>
      </c>
      <c r="I18" s="1435"/>
      <c r="J18" s="1435"/>
      <c r="K18" s="1435"/>
      <c r="L18" s="1435"/>
    </row>
    <row r="19" spans="1:12" s="7" customFormat="1" ht="37.5">
      <c r="A19" s="1247">
        <v>9</v>
      </c>
      <c r="B19" s="1248" t="s">
        <v>1957</v>
      </c>
      <c r="C19" s="1138">
        <v>10000</v>
      </c>
      <c r="D19" s="1138">
        <v>10000</v>
      </c>
      <c r="E19" s="1138">
        <v>0</v>
      </c>
      <c r="F19" s="232"/>
      <c r="G19" s="232"/>
      <c r="H19" s="1502">
        <f t="shared" si="0"/>
        <v>0</v>
      </c>
      <c r="I19" s="1435"/>
      <c r="J19" s="1435"/>
      <c r="K19" s="1435"/>
      <c r="L19" s="1435"/>
    </row>
    <row r="20" spans="1:12" s="7" customFormat="1" ht="56.25">
      <c r="A20" s="1247">
        <v>10</v>
      </c>
      <c r="B20" s="1248" t="s">
        <v>1952</v>
      </c>
      <c r="C20" s="1138">
        <v>10000</v>
      </c>
      <c r="D20" s="1138">
        <v>10000</v>
      </c>
      <c r="E20" s="1138">
        <v>0</v>
      </c>
      <c r="F20" s="232"/>
      <c r="G20" s="232"/>
      <c r="H20" s="1502">
        <f t="shared" si="0"/>
        <v>0</v>
      </c>
      <c r="I20" s="1435"/>
      <c r="J20" s="1435"/>
      <c r="K20" s="1435"/>
      <c r="L20" s="1435"/>
    </row>
    <row r="21" spans="1:12" s="7" customFormat="1" ht="56.25">
      <c r="A21" s="1247">
        <v>11</v>
      </c>
      <c r="B21" s="1248" t="s">
        <v>1952</v>
      </c>
      <c r="C21" s="1138">
        <v>10000</v>
      </c>
      <c r="D21" s="1138">
        <v>10000</v>
      </c>
      <c r="E21" s="1138">
        <v>0</v>
      </c>
      <c r="F21" s="232"/>
      <c r="G21" s="232"/>
      <c r="H21" s="1502">
        <f t="shared" si="0"/>
        <v>0</v>
      </c>
      <c r="I21" s="1435"/>
      <c r="J21" s="1435"/>
      <c r="K21" s="1435"/>
      <c r="L21" s="1435"/>
    </row>
    <row r="22" spans="1:12" s="7" customFormat="1" ht="75">
      <c r="A22" s="1247">
        <v>12</v>
      </c>
      <c r="B22" s="1248" t="s">
        <v>1958</v>
      </c>
      <c r="C22" s="1138">
        <v>45000</v>
      </c>
      <c r="D22" s="1138">
        <v>45000</v>
      </c>
      <c r="E22" s="1138">
        <v>0</v>
      </c>
      <c r="F22" s="232"/>
      <c r="G22" s="232"/>
      <c r="H22" s="1502">
        <f t="shared" si="0"/>
        <v>0</v>
      </c>
      <c r="I22" s="1435"/>
      <c r="J22" s="1435"/>
      <c r="K22" s="1435"/>
      <c r="L22" s="1435"/>
    </row>
    <row r="23" spans="1:12" s="7" customFormat="1" ht="56.25">
      <c r="A23" s="1247">
        <v>13</v>
      </c>
      <c r="B23" s="1248" t="s">
        <v>1959</v>
      </c>
      <c r="C23" s="1138">
        <v>15000</v>
      </c>
      <c r="D23" s="1138">
        <v>15000</v>
      </c>
      <c r="E23" s="1138">
        <v>0</v>
      </c>
      <c r="F23" s="1250">
        <v>25000</v>
      </c>
      <c r="G23" s="184"/>
      <c r="H23" s="1502">
        <f t="shared" si="0"/>
        <v>0</v>
      </c>
      <c r="I23" s="1435"/>
      <c r="J23" s="1435"/>
      <c r="K23" s="1435"/>
      <c r="L23" s="1435"/>
    </row>
    <row r="24" spans="1:12" s="7" customFormat="1" ht="75">
      <c r="A24" s="1247">
        <v>14</v>
      </c>
      <c r="B24" s="1248" t="s">
        <v>1960</v>
      </c>
      <c r="C24" s="1138">
        <v>10000</v>
      </c>
      <c r="D24" s="1138">
        <v>10000</v>
      </c>
      <c r="E24" s="1138">
        <v>0</v>
      </c>
      <c r="F24" s="565"/>
      <c r="G24" s="565"/>
      <c r="H24" s="1502">
        <f t="shared" si="0"/>
        <v>0</v>
      </c>
      <c r="I24" s="1435"/>
      <c r="J24" s="1435"/>
      <c r="K24" s="1435"/>
      <c r="L24" s="1435"/>
    </row>
    <row r="25" spans="1:12" s="7" customFormat="1" ht="37.5">
      <c r="A25" s="1247">
        <v>15</v>
      </c>
      <c r="B25" s="1248" t="s">
        <v>1961</v>
      </c>
      <c r="C25" s="1138">
        <v>15000</v>
      </c>
      <c r="D25" s="1138">
        <v>0</v>
      </c>
      <c r="E25" s="1138">
        <v>15000</v>
      </c>
      <c r="F25" s="565"/>
      <c r="G25" s="565"/>
      <c r="H25" s="1502">
        <f t="shared" si="0"/>
        <v>0</v>
      </c>
      <c r="I25" s="1435"/>
      <c r="J25" s="1435"/>
      <c r="K25" s="1435"/>
      <c r="L25" s="1435"/>
    </row>
    <row r="26" spans="1:12" s="7" customFormat="1" ht="37.5">
      <c r="A26" s="1247">
        <v>16</v>
      </c>
      <c r="B26" s="1248" t="s">
        <v>2019</v>
      </c>
      <c r="C26" s="1138">
        <v>20000</v>
      </c>
      <c r="D26" s="1138">
        <v>20000</v>
      </c>
      <c r="E26" s="1138">
        <v>0</v>
      </c>
      <c r="F26" s="565"/>
      <c r="G26" s="565"/>
      <c r="H26" s="1502">
        <f t="shared" si="0"/>
        <v>0</v>
      </c>
      <c r="I26" s="1435"/>
      <c r="J26" s="1435"/>
      <c r="K26" s="1435"/>
      <c r="L26" s="1435"/>
    </row>
    <row r="27" spans="1:12" s="7" customFormat="1" ht="75">
      <c r="A27" s="1247">
        <v>17</v>
      </c>
      <c r="B27" s="1248" t="s">
        <v>1962</v>
      </c>
      <c r="C27" s="1138">
        <v>16998</v>
      </c>
      <c r="D27" s="1138">
        <v>0</v>
      </c>
      <c r="E27" s="1138">
        <v>16998</v>
      </c>
      <c r="F27" s="565"/>
      <c r="G27" s="565"/>
      <c r="H27" s="1502">
        <f t="shared" si="0"/>
        <v>0</v>
      </c>
      <c r="I27" s="1435"/>
      <c r="J27" s="1435"/>
      <c r="K27" s="1435"/>
      <c r="L27" s="1435"/>
    </row>
    <row r="28" spans="1:12" s="7" customFormat="1" hidden="1">
      <c r="A28" s="344"/>
      <c r="B28" s="566"/>
      <c r="C28" s="604"/>
      <c r="D28" s="809"/>
      <c r="E28" s="808"/>
      <c r="F28" s="565"/>
      <c r="G28" s="565"/>
      <c r="H28" s="1502">
        <f t="shared" si="0"/>
        <v>0</v>
      </c>
      <c r="I28" s="1435"/>
      <c r="J28" s="1435"/>
      <c r="K28" s="1435"/>
      <c r="L28" s="1435"/>
    </row>
    <row r="29" spans="1:12" s="7" customFormat="1" hidden="1">
      <c r="A29" s="344"/>
      <c r="B29" s="566"/>
      <c r="C29" s="604"/>
      <c r="D29" s="809"/>
      <c r="E29" s="808"/>
      <c r="F29" s="565"/>
      <c r="G29" s="565"/>
      <c r="H29" s="1502">
        <f t="shared" si="0"/>
        <v>0</v>
      </c>
      <c r="I29" s="1435"/>
      <c r="J29" s="1435"/>
      <c r="K29" s="1435"/>
      <c r="L29" s="1435"/>
    </row>
    <row r="30" spans="1:12" s="7" customFormat="1" hidden="1">
      <c r="A30" s="344"/>
      <c r="B30" s="566"/>
      <c r="C30" s="604"/>
      <c r="D30" s="809"/>
      <c r="E30" s="808"/>
      <c r="F30" s="565"/>
      <c r="G30" s="565"/>
      <c r="H30" s="1502">
        <f t="shared" si="0"/>
        <v>0</v>
      </c>
      <c r="I30" s="1435"/>
      <c r="J30" s="1435"/>
      <c r="K30" s="1435"/>
      <c r="L30" s="1435"/>
    </row>
    <row r="31" spans="1:12" s="7" customFormat="1" hidden="1">
      <c r="A31" s="344"/>
      <c r="B31" s="566"/>
      <c r="C31" s="604"/>
      <c r="D31" s="809"/>
      <c r="E31" s="808"/>
      <c r="F31" s="565"/>
      <c r="G31" s="565"/>
      <c r="H31" s="1502">
        <f t="shared" si="0"/>
        <v>0</v>
      </c>
      <c r="I31" s="1435"/>
      <c r="J31" s="1435"/>
      <c r="K31" s="1435"/>
      <c r="L31" s="1435"/>
    </row>
    <row r="32" spans="1:12" s="7" customFormat="1" hidden="1">
      <c r="A32" s="344"/>
      <c r="B32" s="566"/>
      <c r="C32" s="604"/>
      <c r="D32" s="809"/>
      <c r="E32" s="808"/>
      <c r="F32" s="565"/>
      <c r="G32" s="565"/>
      <c r="H32" s="1502">
        <f t="shared" si="0"/>
        <v>0</v>
      </c>
      <c r="I32" s="1435"/>
      <c r="J32" s="1435"/>
      <c r="K32" s="1435"/>
      <c r="L32" s="1435"/>
    </row>
    <row r="33" spans="1:12" s="7" customFormat="1" hidden="1">
      <c r="A33" s="344"/>
      <c r="B33" s="566"/>
      <c r="C33" s="604"/>
      <c r="D33" s="809"/>
      <c r="E33" s="808"/>
      <c r="F33" s="565"/>
      <c r="G33" s="565"/>
      <c r="H33" s="1502">
        <f t="shared" si="0"/>
        <v>0</v>
      </c>
      <c r="I33" s="1435"/>
      <c r="J33" s="1435"/>
      <c r="K33" s="1435"/>
      <c r="L33" s="1435"/>
    </row>
    <row r="34" spans="1:12" s="7" customFormat="1" hidden="1">
      <c r="A34" s="344"/>
      <c r="B34" s="566"/>
      <c r="C34" s="604"/>
      <c r="D34" s="809"/>
      <c r="E34" s="808"/>
      <c r="F34" s="565"/>
      <c r="G34" s="565"/>
      <c r="H34" s="1502">
        <f t="shared" si="0"/>
        <v>0</v>
      </c>
      <c r="I34" s="1435"/>
      <c r="J34" s="1435"/>
      <c r="K34" s="1435"/>
      <c r="L34" s="1435"/>
    </row>
    <row r="35" spans="1:12" s="7" customFormat="1" hidden="1">
      <c r="A35" s="344"/>
      <c r="B35" s="566"/>
      <c r="C35" s="604"/>
      <c r="D35" s="809"/>
      <c r="E35" s="808"/>
      <c r="F35" s="565"/>
      <c r="G35" s="565"/>
      <c r="H35" s="1502">
        <f t="shared" si="0"/>
        <v>0</v>
      </c>
      <c r="I35" s="1435"/>
      <c r="J35" s="1435"/>
      <c r="K35" s="1435"/>
      <c r="L35" s="1435"/>
    </row>
    <row r="36" spans="1:12" s="7" customFormat="1" hidden="1">
      <c r="A36" s="344"/>
      <c r="B36" s="566"/>
      <c r="C36" s="604"/>
      <c r="D36" s="809"/>
      <c r="E36" s="808"/>
      <c r="F36" s="565"/>
      <c r="G36" s="565"/>
      <c r="H36" s="1502">
        <f t="shared" si="0"/>
        <v>0</v>
      </c>
      <c r="I36" s="1435"/>
      <c r="J36" s="1435"/>
      <c r="K36" s="1435"/>
      <c r="L36" s="1435"/>
    </row>
    <row r="37" spans="1:12" s="7" customFormat="1" hidden="1">
      <c r="A37" s="344"/>
      <c r="B37" s="566"/>
      <c r="C37" s="604"/>
      <c r="D37" s="809"/>
      <c r="E37" s="808"/>
      <c r="F37" s="565"/>
      <c r="G37" s="565"/>
      <c r="H37" s="1502">
        <f t="shared" si="0"/>
        <v>0</v>
      </c>
      <c r="I37" s="1435"/>
      <c r="J37" s="1435"/>
      <c r="K37" s="1435"/>
      <c r="L37" s="1435"/>
    </row>
    <row r="38" spans="1:12" s="7" customFormat="1" hidden="1">
      <c r="A38" s="344"/>
      <c r="B38" s="566"/>
      <c r="C38" s="604"/>
      <c r="D38" s="809"/>
      <c r="E38" s="808"/>
      <c r="F38" s="565"/>
      <c r="G38" s="565"/>
      <c r="H38" s="1502">
        <f t="shared" si="0"/>
        <v>0</v>
      </c>
      <c r="I38" s="1435"/>
      <c r="J38" s="1435"/>
      <c r="K38" s="1435"/>
      <c r="L38" s="1435"/>
    </row>
    <row r="39" spans="1:12" s="7" customFormat="1" hidden="1">
      <c r="A39" s="344"/>
      <c r="B39" s="566"/>
      <c r="C39" s="604"/>
      <c r="D39" s="809"/>
      <c r="E39" s="808"/>
      <c r="F39" s="565"/>
      <c r="G39" s="565"/>
      <c r="H39" s="1502">
        <f t="shared" si="0"/>
        <v>0</v>
      </c>
      <c r="I39" s="1435"/>
      <c r="J39" s="1435"/>
      <c r="K39" s="1435"/>
      <c r="L39" s="1435"/>
    </row>
    <row r="40" spans="1:12" s="7" customFormat="1" hidden="1">
      <c r="A40" s="344"/>
      <c r="B40" s="566"/>
      <c r="C40" s="604"/>
      <c r="D40" s="809"/>
      <c r="E40" s="808"/>
      <c r="F40" s="565"/>
      <c r="G40" s="565"/>
      <c r="H40" s="1502">
        <f t="shared" si="0"/>
        <v>0</v>
      </c>
      <c r="I40" s="1435"/>
      <c r="J40" s="1435"/>
      <c r="K40" s="1435"/>
      <c r="L40" s="1435"/>
    </row>
    <row r="41" spans="1:12" s="7" customFormat="1" hidden="1">
      <c r="A41" s="344"/>
      <c r="B41" s="566"/>
      <c r="C41" s="604"/>
      <c r="D41" s="809"/>
      <c r="E41" s="808"/>
      <c r="F41" s="565"/>
      <c r="G41" s="565"/>
      <c r="H41" s="1502">
        <f t="shared" si="0"/>
        <v>0</v>
      </c>
      <c r="I41" s="1435"/>
      <c r="J41" s="1435"/>
      <c r="K41" s="1435"/>
      <c r="L41" s="1435"/>
    </row>
    <row r="42" spans="1:12" s="7" customFormat="1" hidden="1">
      <c r="A42" s="344"/>
      <c r="B42" s="566"/>
      <c r="C42" s="604"/>
      <c r="D42" s="809"/>
      <c r="E42" s="808"/>
      <c r="F42" s="565"/>
      <c r="G42" s="565"/>
      <c r="H42" s="1502">
        <f t="shared" si="0"/>
        <v>0</v>
      </c>
      <c r="I42" s="1435"/>
      <c r="J42" s="1435"/>
      <c r="K42" s="1435"/>
      <c r="L42" s="1435"/>
    </row>
    <row r="43" spans="1:12" s="7" customFormat="1" hidden="1">
      <c r="A43" s="344"/>
      <c r="B43" s="566"/>
      <c r="C43" s="604"/>
      <c r="D43" s="809"/>
      <c r="E43" s="808"/>
      <c r="F43" s="565"/>
      <c r="G43" s="565"/>
      <c r="H43" s="1502">
        <f t="shared" si="0"/>
        <v>0</v>
      </c>
      <c r="I43" s="1435"/>
      <c r="J43" s="1435"/>
      <c r="K43" s="1435"/>
      <c r="L43" s="1435"/>
    </row>
    <row r="44" spans="1:12" s="7" customFormat="1" hidden="1">
      <c r="A44" s="344"/>
      <c r="B44" s="566"/>
      <c r="C44" s="604"/>
      <c r="D44" s="809"/>
      <c r="E44" s="808"/>
      <c r="F44" s="565"/>
      <c r="G44" s="565"/>
      <c r="H44" s="1502">
        <f t="shared" si="0"/>
        <v>0</v>
      </c>
      <c r="I44" s="1435"/>
      <c r="J44" s="1435"/>
      <c r="K44" s="1435"/>
      <c r="L44" s="1435"/>
    </row>
    <row r="45" spans="1:12" s="7" customFormat="1" hidden="1">
      <c r="A45" s="344"/>
      <c r="B45" s="566"/>
      <c r="C45" s="604"/>
      <c r="D45" s="809"/>
      <c r="E45" s="808"/>
      <c r="F45" s="565"/>
      <c r="G45" s="565"/>
      <c r="H45" s="1502">
        <f t="shared" si="0"/>
        <v>0</v>
      </c>
      <c r="I45" s="1435"/>
      <c r="J45" s="1435"/>
      <c r="K45" s="1435"/>
      <c r="L45" s="1435"/>
    </row>
    <row r="46" spans="1:12" s="7" customFormat="1" hidden="1">
      <c r="A46" s="344"/>
      <c r="B46" s="566"/>
      <c r="C46" s="604"/>
      <c r="D46" s="809"/>
      <c r="E46" s="808"/>
      <c r="F46" s="565"/>
      <c r="G46" s="565"/>
      <c r="H46" s="1502">
        <f t="shared" si="0"/>
        <v>0</v>
      </c>
      <c r="I46" s="1435"/>
      <c r="J46" s="1435"/>
      <c r="K46" s="1435"/>
      <c r="L46" s="1435"/>
    </row>
    <row r="47" spans="1:12" s="7" customFormat="1" hidden="1">
      <c r="A47" s="344"/>
      <c r="B47" s="792"/>
      <c r="C47" s="810"/>
      <c r="D47" s="811"/>
      <c r="E47" s="812"/>
      <c r="F47" s="565"/>
      <c r="G47" s="565"/>
      <c r="H47" s="1502">
        <f t="shared" si="0"/>
        <v>0</v>
      </c>
      <c r="I47" s="1435"/>
      <c r="J47" s="1435"/>
      <c r="K47" s="1435"/>
      <c r="L47" s="1435"/>
    </row>
    <row r="48" spans="1:12" s="7" customFormat="1" hidden="1">
      <c r="A48" s="344"/>
      <c r="B48" s="501"/>
      <c r="C48" s="895"/>
      <c r="D48" s="896"/>
      <c r="E48" s="897"/>
      <c r="F48" s="565"/>
      <c r="G48" s="565"/>
      <c r="H48" s="1502">
        <f t="shared" si="0"/>
        <v>0</v>
      </c>
      <c r="I48" s="1435"/>
      <c r="J48" s="1435"/>
      <c r="K48" s="1435"/>
      <c r="L48" s="1435"/>
    </row>
    <row r="49" spans="1:12" s="7" customFormat="1" hidden="1">
      <c r="A49" s="344"/>
      <c r="B49" s="501"/>
      <c r="C49" s="895"/>
      <c r="D49" s="896"/>
      <c r="E49" s="897"/>
      <c r="F49" s="565"/>
      <c r="G49" s="565"/>
      <c r="H49" s="1502">
        <f t="shared" si="0"/>
        <v>0</v>
      </c>
      <c r="I49" s="1435"/>
      <c r="J49" s="1435"/>
      <c r="K49" s="1435"/>
      <c r="L49" s="1435"/>
    </row>
    <row r="50" spans="1:12" s="7" customFormat="1" hidden="1">
      <c r="A50" s="344"/>
      <c r="B50" s="501"/>
      <c r="C50" s="895"/>
      <c r="D50" s="896"/>
      <c r="E50" s="897"/>
      <c r="F50" s="565"/>
      <c r="G50" s="565"/>
      <c r="H50" s="1502">
        <f t="shared" si="0"/>
        <v>0</v>
      </c>
      <c r="I50" s="1435"/>
      <c r="J50" s="1435"/>
      <c r="K50" s="1435"/>
      <c r="L50" s="1435"/>
    </row>
    <row r="51" spans="1:12" s="7" customFormat="1" hidden="1">
      <c r="A51" s="344"/>
      <c r="B51" s="501"/>
      <c r="C51" s="895"/>
      <c r="D51" s="896"/>
      <c r="E51" s="897"/>
      <c r="F51" s="565"/>
      <c r="G51" s="565"/>
      <c r="H51" s="1502">
        <f t="shared" si="0"/>
        <v>0</v>
      </c>
      <c r="I51" s="1435"/>
      <c r="J51" s="1435"/>
      <c r="K51" s="1435"/>
      <c r="L51" s="1435"/>
    </row>
    <row r="52" spans="1:12" s="7" customFormat="1" hidden="1">
      <c r="A52" s="344"/>
      <c r="B52" s="501"/>
      <c r="C52" s="895"/>
      <c r="D52" s="896"/>
      <c r="E52" s="897"/>
      <c r="F52" s="565"/>
      <c r="G52" s="565"/>
      <c r="H52" s="1502">
        <f t="shared" si="0"/>
        <v>0</v>
      </c>
      <c r="I52" s="1435"/>
      <c r="J52" s="1435"/>
      <c r="K52" s="1435"/>
      <c r="L52" s="1435"/>
    </row>
    <row r="53" spans="1:12" s="7" customFormat="1" hidden="1">
      <c r="A53" s="344"/>
      <c r="B53" s="501"/>
      <c r="C53" s="895"/>
      <c r="D53" s="896"/>
      <c r="E53" s="897"/>
      <c r="F53" s="565"/>
      <c r="G53" s="565"/>
      <c r="H53" s="1502">
        <f t="shared" si="0"/>
        <v>0</v>
      </c>
      <c r="I53" s="1435"/>
      <c r="J53" s="1435"/>
      <c r="K53" s="1435"/>
      <c r="L53" s="1435"/>
    </row>
    <row r="54" spans="1:12" s="7" customFormat="1" hidden="1">
      <c r="A54" s="344"/>
      <c r="B54" s="501"/>
      <c r="C54" s="895"/>
      <c r="D54" s="896"/>
      <c r="E54" s="897"/>
      <c r="F54" s="565"/>
      <c r="G54" s="565"/>
      <c r="H54" s="1502">
        <f t="shared" si="0"/>
        <v>0</v>
      </c>
      <c r="I54" s="1435"/>
      <c r="J54" s="1435"/>
      <c r="K54" s="1435"/>
      <c r="L54" s="1435"/>
    </row>
    <row r="55" spans="1:12" s="7" customFormat="1" hidden="1">
      <c r="A55" s="344"/>
      <c r="B55" s="501"/>
      <c r="C55" s="895"/>
      <c r="D55" s="896"/>
      <c r="E55" s="897"/>
      <c r="F55" s="565"/>
      <c r="G55" s="565"/>
      <c r="H55" s="1502">
        <f t="shared" si="0"/>
        <v>0</v>
      </c>
      <c r="I55" s="1435"/>
      <c r="J55" s="1435"/>
      <c r="K55" s="1435"/>
      <c r="L55" s="1435"/>
    </row>
    <row r="56" spans="1:12" s="7" customFormat="1" hidden="1">
      <c r="A56" s="344"/>
      <c r="B56" s="501"/>
      <c r="C56" s="895"/>
      <c r="D56" s="896"/>
      <c r="E56" s="897"/>
      <c r="F56" s="565"/>
      <c r="G56" s="565"/>
      <c r="H56" s="1502">
        <f t="shared" si="0"/>
        <v>0</v>
      </c>
      <c r="I56" s="1435"/>
      <c r="J56" s="1435"/>
      <c r="K56" s="1435"/>
      <c r="L56" s="1435"/>
    </row>
    <row r="57" spans="1:12" s="7" customFormat="1" hidden="1">
      <c r="A57" s="344"/>
      <c r="B57" s="501"/>
      <c r="C57" s="895"/>
      <c r="D57" s="896"/>
      <c r="E57" s="897"/>
      <c r="F57" s="565"/>
      <c r="G57" s="565"/>
      <c r="H57" s="1502">
        <f t="shared" si="0"/>
        <v>0</v>
      </c>
      <c r="I57" s="1435"/>
      <c r="J57" s="1435"/>
      <c r="K57" s="1435"/>
      <c r="L57" s="1435"/>
    </row>
    <row r="58" spans="1:12" s="7" customFormat="1" hidden="1">
      <c r="A58" s="344"/>
      <c r="B58" s="501"/>
      <c r="C58" s="895"/>
      <c r="D58" s="896"/>
      <c r="E58" s="897"/>
      <c r="F58" s="565"/>
      <c r="G58" s="565"/>
      <c r="H58" s="1502">
        <f t="shared" si="0"/>
        <v>0</v>
      </c>
      <c r="I58" s="1435"/>
      <c r="J58" s="1435"/>
      <c r="K58" s="1435"/>
      <c r="L58" s="1435"/>
    </row>
    <row r="59" spans="1:12" s="7" customFormat="1" hidden="1">
      <c r="A59" s="344"/>
      <c r="B59" s="898"/>
      <c r="C59" s="895"/>
      <c r="D59" s="896"/>
      <c r="E59" s="897"/>
      <c r="F59" s="565"/>
      <c r="G59" s="565"/>
      <c r="H59" s="1502">
        <f t="shared" si="0"/>
        <v>0</v>
      </c>
      <c r="I59" s="1435"/>
      <c r="J59" s="1435"/>
      <c r="K59" s="1435"/>
      <c r="L59" s="1435"/>
    </row>
    <row r="60" spans="1:12" s="7" customFormat="1" hidden="1">
      <c r="A60" s="344"/>
      <c r="B60" s="501"/>
      <c r="C60" s="895"/>
      <c r="D60" s="896"/>
      <c r="E60" s="897"/>
      <c r="F60" s="565"/>
      <c r="G60" s="565"/>
      <c r="H60" s="1502">
        <f t="shared" si="0"/>
        <v>0</v>
      </c>
      <c r="I60" s="1435"/>
      <c r="J60" s="1435"/>
      <c r="K60" s="1435"/>
      <c r="L60" s="1435"/>
    </row>
    <row r="61" spans="1:12" s="7" customFormat="1" hidden="1">
      <c r="A61" s="344"/>
      <c r="B61" s="501"/>
      <c r="C61" s="895"/>
      <c r="D61" s="896"/>
      <c r="E61" s="897"/>
      <c r="F61" s="565"/>
      <c r="G61" s="565"/>
      <c r="H61" s="1502">
        <f t="shared" si="0"/>
        <v>0</v>
      </c>
      <c r="I61" s="1435"/>
      <c r="J61" s="1435"/>
      <c r="K61" s="1435"/>
      <c r="L61" s="1435"/>
    </row>
    <row r="62" spans="1:12" s="7" customFormat="1" hidden="1">
      <c r="A62" s="344"/>
      <c r="B62" s="501"/>
      <c r="C62" s="895"/>
      <c r="D62" s="896"/>
      <c r="E62" s="897"/>
      <c r="F62" s="565"/>
      <c r="G62" s="565"/>
      <c r="H62" s="1502">
        <f t="shared" si="0"/>
        <v>0</v>
      </c>
      <c r="I62" s="1435"/>
      <c r="J62" s="1435"/>
      <c r="K62" s="1435"/>
      <c r="L62" s="1435"/>
    </row>
    <row r="63" spans="1:12" s="7" customFormat="1" ht="18" customHeight="1">
      <c r="A63" s="1287"/>
      <c r="B63" s="1287" t="s">
        <v>55</v>
      </c>
      <c r="C63" s="1288">
        <f>C64+C65</f>
        <v>1202200</v>
      </c>
      <c r="D63" s="1288">
        <f>D64+D65</f>
        <v>773763</v>
      </c>
      <c r="E63" s="1288">
        <f>E64+E65</f>
        <v>428437</v>
      </c>
      <c r="F63" s="565"/>
      <c r="G63" s="565"/>
      <c r="H63" s="1502">
        <f t="shared" si="0"/>
        <v>0</v>
      </c>
      <c r="I63" s="1435"/>
      <c r="J63" s="1435"/>
      <c r="K63" s="1435"/>
      <c r="L63" s="1435"/>
    </row>
    <row r="64" spans="1:12" s="507" customFormat="1" ht="168.75">
      <c r="A64" s="504" t="s">
        <v>872</v>
      </c>
      <c r="B64" s="505" t="s">
        <v>2160</v>
      </c>
      <c r="C64" s="806">
        <v>1000000</v>
      </c>
      <c r="D64" s="806">
        <f>1000000-428437</f>
        <v>571563</v>
      </c>
      <c r="E64" s="806">
        <v>428437</v>
      </c>
      <c r="F64" s="506"/>
      <c r="G64" s="506"/>
      <c r="H64" s="1502">
        <f t="shared" si="0"/>
        <v>0</v>
      </c>
      <c r="I64" s="1503"/>
      <c r="J64" s="1503"/>
      <c r="K64" s="1503"/>
      <c r="L64" s="1503" t="s">
        <v>874</v>
      </c>
    </row>
    <row r="65" spans="1:16" s="67" customFormat="1" ht="103.15" customHeight="1">
      <c r="A65" s="504" t="s">
        <v>871</v>
      </c>
      <c r="B65" s="505" t="s">
        <v>2159</v>
      </c>
      <c r="C65" s="806">
        <v>202200</v>
      </c>
      <c r="D65" s="806">
        <v>202200</v>
      </c>
      <c r="E65" s="806"/>
      <c r="F65" s="508"/>
      <c r="G65" s="508"/>
      <c r="H65" s="1502">
        <f t="shared" si="0"/>
        <v>0</v>
      </c>
      <c r="I65" s="1437"/>
      <c r="J65" s="1504">
        <f>D65+D67+D72+D80-дод3!E29</f>
        <v>4347037</v>
      </c>
      <c r="K65" s="1504">
        <f>E65+E67-дод3!J29</f>
        <v>462163</v>
      </c>
      <c r="L65" s="1437"/>
    </row>
    <row r="66" spans="1:16" s="7" customFormat="1" ht="18" customHeight="1">
      <c r="A66" s="1287"/>
      <c r="B66" s="1287" t="s">
        <v>121</v>
      </c>
      <c r="C66" s="1288">
        <f>C67+C72+C80+C90+C94+C95+C96+C97+C98</f>
        <v>8056000</v>
      </c>
      <c r="D66" s="1288">
        <f>D67+D72+D80+D90+D94+D95+D96+D97+D98</f>
        <v>5768600</v>
      </c>
      <c r="E66" s="1288">
        <f>E67+E72+E80+E90+E94+E95+E96+E97+E98</f>
        <v>2287400</v>
      </c>
      <c r="F66" s="565"/>
      <c r="G66" s="565"/>
      <c r="H66" s="1502">
        <f t="shared" si="0"/>
        <v>0</v>
      </c>
      <c r="I66" s="1435"/>
      <c r="J66" s="1435"/>
      <c r="K66" s="1435"/>
      <c r="L66" s="1435"/>
    </row>
    <row r="67" spans="1:16" s="507" customFormat="1" ht="93.75">
      <c r="A67" s="504" t="s">
        <v>872</v>
      </c>
      <c r="B67" s="505" t="s">
        <v>879</v>
      </c>
      <c r="C67" s="806">
        <f>SUM(C69:C71)</f>
        <v>5467000</v>
      </c>
      <c r="D67" s="806">
        <f>SUM(D69:D71)</f>
        <v>4576400</v>
      </c>
      <c r="E67" s="806">
        <f>SUM(E69:E71)</f>
        <v>890600</v>
      </c>
      <c r="F67" s="506"/>
      <c r="G67" s="506"/>
      <c r="H67" s="1502">
        <f t="shared" si="0"/>
        <v>0</v>
      </c>
      <c r="I67" s="1503"/>
      <c r="J67" s="1503"/>
      <c r="K67" s="1503"/>
      <c r="L67" s="1503"/>
      <c r="M67" s="603"/>
      <c r="N67" s="603"/>
      <c r="O67" s="603"/>
      <c r="P67" s="603"/>
    </row>
    <row r="68" spans="1:16" s="503" customFormat="1">
      <c r="A68" s="501"/>
      <c r="B68" s="342" t="s">
        <v>268</v>
      </c>
      <c r="C68" s="808"/>
      <c r="D68" s="511"/>
      <c r="E68" s="808"/>
      <c r="F68" s="502"/>
      <c r="G68" s="502"/>
      <c r="H68" s="1502">
        <f t="shared" si="0"/>
        <v>0</v>
      </c>
      <c r="I68" s="1505"/>
      <c r="J68" s="1505"/>
      <c r="K68" s="1505"/>
      <c r="L68" s="1505"/>
    </row>
    <row r="69" spans="1:16" s="7" customFormat="1" ht="56.25">
      <c r="A69" s="342"/>
      <c r="B69" s="500" t="s">
        <v>1951</v>
      </c>
      <c r="C69" s="561">
        <v>5467000</v>
      </c>
      <c r="D69" s="813">
        <v>4576400</v>
      </c>
      <c r="E69" s="813">
        <v>890600</v>
      </c>
      <c r="F69" s="232"/>
      <c r="G69" s="232"/>
      <c r="H69" s="1502">
        <f t="shared" si="0"/>
        <v>0</v>
      </c>
      <c r="I69" s="1435"/>
      <c r="J69" s="1435"/>
      <c r="K69" s="1435"/>
      <c r="L69" s="1435"/>
    </row>
    <row r="70" spans="1:16" s="7" customFormat="1" ht="37.5" hidden="1">
      <c r="A70" s="342"/>
      <c r="B70" s="500" t="s">
        <v>882</v>
      </c>
      <c r="C70" s="561"/>
      <c r="D70" s="813"/>
      <c r="E70" s="813"/>
      <c r="F70" s="232"/>
      <c r="G70" s="232"/>
      <c r="H70" s="1502">
        <f t="shared" si="0"/>
        <v>0</v>
      </c>
      <c r="I70" s="1435"/>
      <c r="J70" s="1435"/>
      <c r="K70" s="1435"/>
      <c r="L70" s="1435"/>
    </row>
    <row r="71" spans="1:16" s="7" customFormat="1" hidden="1">
      <c r="A71" s="342"/>
      <c r="B71" s="500" t="s">
        <v>945</v>
      </c>
      <c r="C71" s="561"/>
      <c r="D71" s="813"/>
      <c r="E71" s="813"/>
      <c r="F71" s="232"/>
      <c r="G71" s="232"/>
      <c r="H71" s="1502">
        <f t="shared" si="0"/>
        <v>0</v>
      </c>
      <c r="I71" s="1435"/>
      <c r="J71" s="1435"/>
      <c r="K71" s="1435"/>
      <c r="L71" s="1435"/>
    </row>
    <row r="72" spans="1:16" s="507" customFormat="1" ht="96.6" customHeight="1">
      <c r="A72" s="504" t="s">
        <v>871</v>
      </c>
      <c r="B72" s="505" t="s">
        <v>878</v>
      </c>
      <c r="C72" s="806">
        <f>SUM(C74:C79)</f>
        <v>345000</v>
      </c>
      <c r="D72" s="806">
        <f>SUM(D74:D79)</f>
        <v>242200</v>
      </c>
      <c r="E72" s="806">
        <f>SUM(E74:E79)</f>
        <v>102800</v>
      </c>
      <c r="F72" s="506"/>
      <c r="G72" s="506"/>
      <c r="H72" s="1502">
        <f t="shared" si="0"/>
        <v>0</v>
      </c>
      <c r="I72" s="1503"/>
      <c r="J72" s="1503"/>
      <c r="K72" s="1503"/>
      <c r="L72" s="1503"/>
    </row>
    <row r="73" spans="1:16" s="503" customFormat="1">
      <c r="A73" s="501"/>
      <c r="B73" s="342" t="s">
        <v>268</v>
      </c>
      <c r="C73" s="808"/>
      <c r="D73" s="511"/>
      <c r="E73" s="808"/>
      <c r="F73" s="502"/>
      <c r="G73" s="502"/>
      <c r="H73" s="1502">
        <f t="shared" si="0"/>
        <v>0</v>
      </c>
      <c r="I73" s="1505"/>
      <c r="J73" s="1505"/>
      <c r="K73" s="1505"/>
      <c r="L73" s="1505"/>
    </row>
    <row r="74" spans="1:16" s="503" customFormat="1" ht="75">
      <c r="A74" s="501"/>
      <c r="B74" s="342" t="s">
        <v>1967</v>
      </c>
      <c r="C74" s="808">
        <v>177200</v>
      </c>
      <c r="D74" s="511">
        <v>177200</v>
      </c>
      <c r="E74" s="808"/>
      <c r="F74" s="502"/>
      <c r="G74" s="502"/>
      <c r="H74" s="1502">
        <f t="shared" si="0"/>
        <v>0</v>
      </c>
      <c r="I74" s="1505"/>
      <c r="J74" s="1505"/>
      <c r="K74" s="1505"/>
      <c r="L74" s="1505"/>
    </row>
    <row r="75" spans="1:16" s="503" customFormat="1" ht="75">
      <c r="A75" s="501"/>
      <c r="B75" s="342" t="s">
        <v>1968</v>
      </c>
      <c r="C75" s="808">
        <v>72800</v>
      </c>
      <c r="D75" s="511"/>
      <c r="E75" s="808">
        <v>72800</v>
      </c>
      <c r="F75" s="502"/>
      <c r="G75" s="502"/>
      <c r="H75" s="1502">
        <f t="shared" si="0"/>
        <v>0</v>
      </c>
      <c r="I75" s="1505"/>
      <c r="J75" s="1505"/>
      <c r="K75" s="1505"/>
      <c r="L75" s="1505"/>
    </row>
    <row r="76" spans="1:16" s="503" customFormat="1" ht="75">
      <c r="A76" s="501"/>
      <c r="B76" s="342" t="s">
        <v>1969</v>
      </c>
      <c r="C76" s="808">
        <v>35000</v>
      </c>
      <c r="D76" s="511">
        <v>35000</v>
      </c>
      <c r="E76" s="808"/>
      <c r="F76" s="502"/>
      <c r="G76" s="502"/>
      <c r="H76" s="1502">
        <f t="shared" si="0"/>
        <v>0</v>
      </c>
      <c r="I76" s="1505"/>
      <c r="J76" s="1505"/>
      <c r="K76" s="1505"/>
      <c r="L76" s="1505"/>
    </row>
    <row r="77" spans="1:16" s="503" customFormat="1" ht="112.5">
      <c r="A77" s="501"/>
      <c r="B77" s="342" t="s">
        <v>1970</v>
      </c>
      <c r="C77" s="808">
        <v>30000</v>
      </c>
      <c r="D77" s="511">
        <v>30000</v>
      </c>
      <c r="E77" s="808"/>
      <c r="F77" s="502"/>
      <c r="G77" s="502"/>
      <c r="H77" s="1502">
        <f t="shared" si="0"/>
        <v>0</v>
      </c>
      <c r="I77" s="1505"/>
      <c r="J77" s="1505"/>
      <c r="K77" s="1505"/>
      <c r="L77" s="1505"/>
    </row>
    <row r="78" spans="1:16" s="503" customFormat="1" ht="56.25">
      <c r="A78" s="501"/>
      <c r="B78" s="342" t="s">
        <v>1971</v>
      </c>
      <c r="C78" s="808">
        <v>30000</v>
      </c>
      <c r="D78" s="511"/>
      <c r="E78" s="808">
        <v>30000</v>
      </c>
      <c r="F78" s="502"/>
      <c r="G78" s="502"/>
      <c r="H78" s="1502">
        <f t="shared" si="0"/>
        <v>0</v>
      </c>
      <c r="I78" s="1505"/>
      <c r="J78" s="1505"/>
      <c r="K78" s="1505"/>
      <c r="L78" s="1505"/>
    </row>
    <row r="79" spans="1:16" s="7" customFormat="1" hidden="1">
      <c r="A79" s="342"/>
      <c r="B79" s="500"/>
      <c r="C79" s="561"/>
      <c r="D79" s="813"/>
      <c r="E79" s="813"/>
      <c r="F79" s="232"/>
      <c r="G79" s="232"/>
      <c r="H79" s="1502">
        <f t="shared" si="0"/>
        <v>0</v>
      </c>
      <c r="I79" s="1435"/>
      <c r="J79" s="1435"/>
      <c r="K79" s="1435"/>
      <c r="L79" s="1435"/>
    </row>
    <row r="80" spans="1:16" s="67" customFormat="1" ht="112.5">
      <c r="A80" s="504" t="s">
        <v>876</v>
      </c>
      <c r="B80" s="505" t="s">
        <v>877</v>
      </c>
      <c r="C80" s="806">
        <f>SUM(C82:C89)</f>
        <v>600000</v>
      </c>
      <c r="D80" s="806">
        <f>SUM(D82:D89)</f>
        <v>100000</v>
      </c>
      <c r="E80" s="806">
        <f>SUM(E82:E89)</f>
        <v>500000</v>
      </c>
      <c r="F80" s="508"/>
      <c r="G80" s="508"/>
      <c r="H80" s="1502">
        <f t="shared" si="0"/>
        <v>0</v>
      </c>
      <c r="I80" s="1437"/>
      <c r="J80" s="1437"/>
      <c r="K80" s="1437"/>
      <c r="L80" s="1437"/>
    </row>
    <row r="81" spans="1:12" s="7" customFormat="1">
      <c r="A81" s="343"/>
      <c r="B81" s="342" t="s">
        <v>268</v>
      </c>
      <c r="C81" s="511"/>
      <c r="D81" s="511"/>
      <c r="E81" s="511"/>
      <c r="F81" s="232"/>
      <c r="G81" s="232"/>
      <c r="H81" s="1502">
        <f t="shared" si="0"/>
        <v>0</v>
      </c>
      <c r="I81" s="1435"/>
      <c r="J81" s="1435"/>
      <c r="K81" s="1435"/>
      <c r="L81" s="1435"/>
    </row>
    <row r="82" spans="1:12" s="7" customFormat="1" ht="56.25">
      <c r="A82" s="342"/>
      <c r="B82" s="500" t="s">
        <v>1974</v>
      </c>
      <c r="C82" s="511">
        <v>500000</v>
      </c>
      <c r="D82" s="808"/>
      <c r="E82" s="808">
        <v>500000</v>
      </c>
      <c r="F82" s="232"/>
      <c r="G82" s="232"/>
      <c r="H82" s="1502">
        <f t="shared" si="0"/>
        <v>0</v>
      </c>
      <c r="I82" s="1435"/>
      <c r="J82" s="1435"/>
      <c r="K82" s="1435"/>
      <c r="L82" s="1435"/>
    </row>
    <row r="83" spans="1:12" s="7" customFormat="1" ht="93.75">
      <c r="A83" s="342"/>
      <c r="B83" s="500" t="s">
        <v>1972</v>
      </c>
      <c r="C83" s="511">
        <v>100000</v>
      </c>
      <c r="D83" s="808">
        <v>100000</v>
      </c>
      <c r="E83" s="808"/>
      <c r="F83" s="232"/>
      <c r="G83" s="232"/>
      <c r="H83" s="1502">
        <f t="shared" si="0"/>
        <v>0</v>
      </c>
      <c r="I83" s="1435"/>
      <c r="J83" s="1435"/>
      <c r="K83" s="1435"/>
      <c r="L83" s="1435"/>
    </row>
    <row r="84" spans="1:12" s="7" customFormat="1" hidden="1">
      <c r="A84" s="342"/>
      <c r="B84" s="500"/>
      <c r="C84" s="511"/>
      <c r="D84" s="808"/>
      <c r="E84" s="808"/>
      <c r="F84" s="232"/>
      <c r="G84" s="232"/>
      <c r="H84" s="1502">
        <f t="shared" si="0"/>
        <v>0</v>
      </c>
      <c r="I84" s="1435"/>
      <c r="J84" s="1435"/>
      <c r="K84" s="1435"/>
      <c r="L84" s="1435"/>
    </row>
    <row r="85" spans="1:12" s="7" customFormat="1" hidden="1">
      <c r="A85" s="342"/>
      <c r="B85" s="514"/>
      <c r="C85" s="511"/>
      <c r="D85" s="808"/>
      <c r="E85" s="808"/>
      <c r="F85" s="232"/>
      <c r="G85" s="232"/>
      <c r="H85" s="1502">
        <f t="shared" si="0"/>
        <v>0</v>
      </c>
      <c r="I85" s="1435"/>
      <c r="J85" s="1435"/>
      <c r="K85" s="1435"/>
      <c r="L85" s="1435"/>
    </row>
    <row r="86" spans="1:12" s="7" customFormat="1" hidden="1">
      <c r="A86" s="342"/>
      <c r="B86" s="514"/>
      <c r="C86" s="511"/>
      <c r="D86" s="808"/>
      <c r="E86" s="808"/>
      <c r="F86" s="232"/>
      <c r="G86" s="232"/>
      <c r="H86" s="1502">
        <f t="shared" si="0"/>
        <v>0</v>
      </c>
      <c r="I86" s="1435"/>
      <c r="J86" s="1435"/>
      <c r="K86" s="1435"/>
      <c r="L86" s="1435"/>
    </row>
    <row r="87" spans="1:12" s="7" customFormat="1" hidden="1">
      <c r="A87" s="342"/>
      <c r="B87" s="514"/>
      <c r="C87" s="511"/>
      <c r="D87" s="808"/>
      <c r="E87" s="808"/>
      <c r="F87" s="232"/>
      <c r="G87" s="232"/>
      <c r="H87" s="1502">
        <f t="shared" si="0"/>
        <v>0</v>
      </c>
      <c r="I87" s="1435"/>
      <c r="J87" s="1435"/>
      <c r="K87" s="1435"/>
      <c r="L87" s="1435"/>
    </row>
    <row r="88" spans="1:12" s="7" customFormat="1" hidden="1">
      <c r="A88" s="342"/>
      <c r="B88" s="514"/>
      <c r="C88" s="511"/>
      <c r="D88" s="808"/>
      <c r="E88" s="808"/>
      <c r="F88" s="232"/>
      <c r="G88" s="232"/>
      <c r="H88" s="1502">
        <f t="shared" si="0"/>
        <v>0</v>
      </c>
      <c r="I88" s="1435"/>
      <c r="J88" s="1435"/>
      <c r="K88" s="1435"/>
      <c r="L88" s="1435"/>
    </row>
    <row r="89" spans="1:12" s="7" customFormat="1" ht="56.25" hidden="1" customHeight="1">
      <c r="A89" s="342"/>
      <c r="B89" s="514"/>
      <c r="C89" s="511"/>
      <c r="D89" s="808"/>
      <c r="E89" s="808"/>
      <c r="F89" s="232"/>
      <c r="G89" s="232"/>
      <c r="H89" s="1502">
        <f t="shared" si="0"/>
        <v>0</v>
      </c>
      <c r="I89" s="1435"/>
      <c r="J89" s="1435"/>
      <c r="K89" s="1435"/>
      <c r="L89" s="1435"/>
    </row>
    <row r="90" spans="1:12" s="67" customFormat="1" ht="150">
      <c r="A90" s="504" t="s">
        <v>875</v>
      </c>
      <c r="B90" s="505" t="s">
        <v>880</v>
      </c>
      <c r="C90" s="806">
        <f>SUM(C92:C93)</f>
        <v>600000</v>
      </c>
      <c r="D90" s="806">
        <f>SUM(D92:D93)</f>
        <v>100000</v>
      </c>
      <c r="E90" s="806">
        <f>SUM(E92:E93)</f>
        <v>500000</v>
      </c>
      <c r="F90" s="508"/>
      <c r="G90" s="508"/>
      <c r="H90" s="1502">
        <f t="shared" si="0"/>
        <v>0</v>
      </c>
      <c r="I90" s="1437"/>
      <c r="J90" s="1437"/>
      <c r="K90" s="1437"/>
      <c r="L90" s="1437"/>
    </row>
    <row r="91" spans="1:12" s="7" customFormat="1">
      <c r="A91" s="343"/>
      <c r="B91" s="342" t="s">
        <v>268</v>
      </c>
      <c r="C91" s="511"/>
      <c r="D91" s="808"/>
      <c r="E91" s="808"/>
      <c r="F91" s="232"/>
      <c r="G91" s="232"/>
      <c r="H91" s="1502">
        <f t="shared" si="0"/>
        <v>0</v>
      </c>
      <c r="I91" s="1435"/>
      <c r="J91" s="1435"/>
      <c r="K91" s="1435"/>
      <c r="L91" s="1435"/>
    </row>
    <row r="92" spans="1:12" s="7" customFormat="1" ht="37.5">
      <c r="A92" s="342"/>
      <c r="B92" s="500" t="s">
        <v>1987</v>
      </c>
      <c r="C92" s="511">
        <v>100000</v>
      </c>
      <c r="D92" s="808">
        <v>100000</v>
      </c>
      <c r="E92" s="808"/>
      <c r="F92" s="232"/>
      <c r="G92" s="232"/>
      <c r="H92" s="1502">
        <f t="shared" si="0"/>
        <v>0</v>
      </c>
      <c r="I92" s="1435"/>
      <c r="J92" s="1435"/>
      <c r="K92" s="1435"/>
      <c r="L92" s="1435"/>
    </row>
    <row r="93" spans="1:12" s="7" customFormat="1" ht="56.25">
      <c r="A93" s="342"/>
      <c r="B93" s="500" t="s">
        <v>1973</v>
      </c>
      <c r="C93" s="511">
        <v>500000</v>
      </c>
      <c r="D93" s="808"/>
      <c r="E93" s="808">
        <v>500000</v>
      </c>
      <c r="F93" s="232"/>
      <c r="G93" s="232"/>
      <c r="H93" s="1502">
        <f t="shared" si="0"/>
        <v>0</v>
      </c>
      <c r="I93" s="1435"/>
      <c r="J93" s="1435"/>
      <c r="K93" s="1435"/>
      <c r="L93" s="1435"/>
    </row>
    <row r="94" spans="1:12" s="67" customFormat="1" ht="75">
      <c r="A94" s="504" t="s">
        <v>1965</v>
      </c>
      <c r="B94" s="505" t="s">
        <v>1975</v>
      </c>
      <c r="C94" s="806">
        <v>14000</v>
      </c>
      <c r="D94" s="806"/>
      <c r="E94" s="806">
        <v>14000</v>
      </c>
      <c r="F94" s="508"/>
      <c r="G94" s="508"/>
      <c r="H94" s="1502">
        <f t="shared" si="0"/>
        <v>0</v>
      </c>
      <c r="I94" s="1437"/>
      <c r="J94" s="1437"/>
      <c r="K94" s="1437"/>
      <c r="L94" s="1437"/>
    </row>
    <row r="95" spans="1:12" s="67" customFormat="1" ht="56.25">
      <c r="A95" s="504" t="s">
        <v>1966</v>
      </c>
      <c r="B95" s="505" t="s">
        <v>1976</v>
      </c>
      <c r="C95" s="806">
        <f>350000+250000+50000</f>
        <v>650000</v>
      </c>
      <c r="D95" s="806">
        <v>650000</v>
      </c>
      <c r="E95" s="806"/>
      <c r="F95" s="508"/>
      <c r="G95" s="508"/>
      <c r="H95" s="1502">
        <f t="shared" si="0"/>
        <v>0</v>
      </c>
      <c r="I95" s="1437"/>
      <c r="J95" s="1437"/>
      <c r="K95" s="1437"/>
      <c r="L95" s="1437"/>
    </row>
    <row r="96" spans="1:12" s="67" customFormat="1" ht="93.75">
      <c r="A96" s="504" t="s">
        <v>1977</v>
      </c>
      <c r="B96" s="505" t="s">
        <v>1978</v>
      </c>
      <c r="C96" s="806">
        <v>100000</v>
      </c>
      <c r="D96" s="806">
        <v>100000</v>
      </c>
      <c r="E96" s="806"/>
      <c r="F96" s="508"/>
      <c r="G96" s="508"/>
      <c r="H96" s="1502">
        <f t="shared" si="0"/>
        <v>0</v>
      </c>
      <c r="I96" s="1437"/>
      <c r="J96" s="1437"/>
      <c r="K96" s="1437"/>
      <c r="L96" s="1437"/>
    </row>
    <row r="97" spans="1:12" s="67" customFormat="1" ht="93.75">
      <c r="A97" s="504" t="s">
        <v>881</v>
      </c>
      <c r="B97" s="505" t="s">
        <v>1979</v>
      </c>
      <c r="C97" s="806">
        <v>30000</v>
      </c>
      <c r="D97" s="806"/>
      <c r="E97" s="806">
        <v>30000</v>
      </c>
      <c r="F97" s="508"/>
      <c r="G97" s="508"/>
      <c r="H97" s="1502">
        <f t="shared" si="0"/>
        <v>0</v>
      </c>
      <c r="I97" s="1437"/>
      <c r="J97" s="1437"/>
      <c r="K97" s="1437"/>
      <c r="L97" s="1437"/>
    </row>
    <row r="98" spans="1:12" s="67" customFormat="1" ht="75">
      <c r="A98" s="504" t="s">
        <v>926</v>
      </c>
      <c r="B98" s="505" t="s">
        <v>1980</v>
      </c>
      <c r="C98" s="806">
        <v>250000</v>
      </c>
      <c r="D98" s="806"/>
      <c r="E98" s="806">
        <v>250000</v>
      </c>
      <c r="F98" s="508"/>
      <c r="G98" s="508"/>
      <c r="H98" s="1502">
        <f t="shared" si="0"/>
        <v>0</v>
      </c>
      <c r="I98" s="1437"/>
      <c r="J98" s="1437"/>
      <c r="K98" s="1437"/>
      <c r="L98" s="1437"/>
    </row>
    <row r="99" spans="1:12" s="7" customFormat="1" hidden="1">
      <c r="A99" s="343"/>
      <c r="B99" s="740"/>
      <c r="C99" s="814"/>
      <c r="D99" s="808"/>
      <c r="E99" s="808"/>
      <c r="F99" s="232"/>
      <c r="G99" s="232"/>
      <c r="H99" s="1502"/>
      <c r="I99" s="1435"/>
      <c r="J99" s="1435"/>
      <c r="K99" s="1435"/>
      <c r="L99" s="1435"/>
    </row>
    <row r="100" spans="1:12" s="7" customFormat="1" hidden="1">
      <c r="A100" s="343"/>
      <c r="B100" s="740"/>
      <c r="C100" s="814"/>
      <c r="D100" s="808"/>
      <c r="E100" s="808"/>
      <c r="F100" s="232"/>
      <c r="G100" s="232"/>
      <c r="H100" s="1502"/>
      <c r="I100" s="1435"/>
      <c r="J100" s="1435"/>
      <c r="K100" s="1435"/>
      <c r="L100" s="1435"/>
    </row>
    <row r="101" spans="1:12" s="7" customFormat="1" hidden="1">
      <c r="A101" s="343"/>
      <c r="B101" s="740"/>
      <c r="C101" s="814"/>
      <c r="D101" s="808"/>
      <c r="E101" s="808"/>
      <c r="F101" s="232"/>
      <c r="G101" s="232"/>
      <c r="H101" s="1502"/>
      <c r="I101" s="1435"/>
      <c r="J101" s="1435"/>
      <c r="K101" s="1435"/>
      <c r="L101" s="1435"/>
    </row>
    <row r="102" spans="1:12" s="7" customFormat="1" hidden="1">
      <c r="A102" s="343"/>
      <c r="B102" s="740"/>
      <c r="C102" s="814"/>
      <c r="D102" s="808"/>
      <c r="E102" s="808"/>
      <c r="F102" s="232"/>
      <c r="G102" s="232"/>
      <c r="H102" s="1502"/>
      <c r="I102" s="1435"/>
      <c r="J102" s="1435"/>
      <c r="K102" s="1435"/>
      <c r="L102" s="1435"/>
    </row>
    <row r="103" spans="1:12" s="7" customFormat="1" hidden="1">
      <c r="A103" s="343"/>
      <c r="B103" s="741"/>
      <c r="C103" s="256"/>
      <c r="D103" s="808"/>
      <c r="E103" s="808"/>
      <c r="F103" s="232"/>
      <c r="G103" s="232"/>
      <c r="H103" s="1502"/>
      <c r="I103" s="1435"/>
      <c r="J103" s="1435"/>
      <c r="K103" s="1435"/>
      <c r="L103" s="1435"/>
    </row>
    <row r="104" spans="1:12" s="7" customFormat="1" ht="63.75" hidden="1" customHeight="1">
      <c r="A104" s="343"/>
      <c r="B104" s="741"/>
      <c r="C104" s="256"/>
      <c r="D104" s="808"/>
      <c r="E104" s="808"/>
      <c r="F104" s="232"/>
      <c r="G104" s="232"/>
      <c r="H104" s="1502"/>
      <c r="I104" s="1435"/>
      <c r="J104" s="1435"/>
      <c r="K104" s="1435"/>
      <c r="L104" s="1435"/>
    </row>
    <row r="105" spans="1:12" s="7" customFormat="1" hidden="1">
      <c r="A105" s="343"/>
      <c r="B105" s="741"/>
      <c r="C105" s="256"/>
      <c r="D105" s="808"/>
      <c r="E105" s="808"/>
      <c r="F105" s="232"/>
      <c r="G105" s="232"/>
      <c r="H105" s="1502"/>
      <c r="I105" s="1435"/>
      <c r="J105" s="1435"/>
      <c r="K105" s="1435"/>
      <c r="L105" s="1435"/>
    </row>
    <row r="106" spans="1:12" s="67" customFormat="1">
      <c r="A106" s="512"/>
      <c r="B106" s="513" t="s">
        <v>985</v>
      </c>
      <c r="C106" s="815">
        <f>C66+C63+C8</f>
        <v>9666510</v>
      </c>
      <c r="D106" s="815">
        <f>D66+D63+D8</f>
        <v>6918675</v>
      </c>
      <c r="E106" s="815">
        <f>E66+E63+E8</f>
        <v>2747835</v>
      </c>
      <c r="F106" s="508"/>
      <c r="G106" s="508"/>
      <c r="H106" s="1502">
        <f>D106+E106-C106</f>
        <v>0</v>
      </c>
      <c r="I106" s="1437"/>
      <c r="J106" s="1437"/>
      <c r="K106" s="1437"/>
      <c r="L106" s="1437"/>
    </row>
    <row r="107" spans="1:12">
      <c r="C107" s="215"/>
      <c r="D107" s="215"/>
      <c r="E107" s="215"/>
      <c r="H107" s="1502">
        <v>1</v>
      </c>
      <c r="I107" s="1440"/>
      <c r="J107" s="1440"/>
      <c r="K107" s="1440"/>
      <c r="L107" s="1440"/>
    </row>
    <row r="108" spans="1:12">
      <c r="B108" s="163" t="s">
        <v>211</v>
      </c>
      <c r="C108" s="167"/>
      <c r="D108" s="168"/>
      <c r="E108" s="163" t="s">
        <v>212</v>
      </c>
      <c r="G108" s="8"/>
      <c r="H108" s="1440">
        <v>1</v>
      </c>
      <c r="I108" s="1440"/>
      <c r="J108" s="1440"/>
      <c r="K108" s="1440"/>
      <c r="L108" s="1440"/>
    </row>
    <row r="109" spans="1:12">
      <c r="C109" s="215"/>
      <c r="D109" s="215"/>
      <c r="E109" s="215"/>
      <c r="H109" s="1440"/>
      <c r="I109" s="1440"/>
      <c r="J109" s="1440"/>
      <c r="K109" s="1440"/>
      <c r="L109" s="1440"/>
    </row>
    <row r="110" spans="1:12">
      <c r="C110" s="215"/>
      <c r="D110" s="215"/>
      <c r="E110" s="215"/>
      <c r="H110" s="1440"/>
      <c r="I110" s="1440"/>
      <c r="J110" s="1440"/>
      <c r="K110" s="1440"/>
      <c r="L110" s="1440"/>
    </row>
    <row r="111" spans="1:12">
      <c r="C111" s="215"/>
      <c r="D111" s="215"/>
      <c r="E111" s="215"/>
    </row>
    <row r="112" spans="1:12">
      <c r="C112" s="215"/>
      <c r="D112" s="215"/>
      <c r="E112" s="215"/>
    </row>
    <row r="113" spans="3:7" s="85" customFormat="1">
      <c r="C113" s="112"/>
      <c r="D113" s="112"/>
      <c r="E113" s="112"/>
    </row>
    <row r="114" spans="3:7" s="7" customFormat="1">
      <c r="C114" s="108"/>
      <c r="D114" s="108"/>
      <c r="E114" s="108"/>
    </row>
    <row r="115" spans="3:7" s="7" customFormat="1">
      <c r="C115" s="108"/>
      <c r="D115" s="108"/>
      <c r="E115" s="108"/>
    </row>
    <row r="116" spans="3:7" s="7" customFormat="1">
      <c r="C116" s="108"/>
      <c r="D116" s="108"/>
      <c r="E116" s="108"/>
    </row>
    <row r="117" spans="3:7" s="7" customFormat="1">
      <c r="C117" s="108"/>
      <c r="D117" s="108"/>
      <c r="E117" s="108"/>
    </row>
    <row r="118" spans="3:7" s="7" customFormat="1">
      <c r="C118" s="108"/>
      <c r="D118" s="108"/>
      <c r="E118" s="108"/>
    </row>
    <row r="119" spans="3:7" s="7" customFormat="1">
      <c r="C119" s="108"/>
      <c r="D119" s="108"/>
      <c r="E119" s="108"/>
    </row>
    <row r="120" spans="3:7" s="7" customFormat="1">
      <c r="C120" s="108"/>
      <c r="D120" s="108"/>
      <c r="E120" s="108"/>
    </row>
    <row r="121" spans="3:7" s="7" customFormat="1">
      <c r="C121" s="108"/>
      <c r="D121" s="108"/>
      <c r="E121" s="108"/>
    </row>
    <row r="122" spans="3:7" s="7" customFormat="1">
      <c r="C122" s="108"/>
      <c r="D122" s="108"/>
      <c r="E122" s="108"/>
    </row>
    <row r="123" spans="3:7" s="7" customFormat="1">
      <c r="C123" s="108"/>
      <c r="D123" s="108"/>
      <c r="E123" s="108"/>
    </row>
    <row r="124" spans="3:7" s="7" customFormat="1">
      <c r="C124" s="108"/>
      <c r="D124" s="108"/>
      <c r="E124" s="108"/>
    </row>
    <row r="125" spans="3:7" s="7" customFormat="1">
      <c r="C125" s="108"/>
      <c r="D125" s="108"/>
      <c r="E125" s="108"/>
    </row>
    <row r="126" spans="3:7" s="7" customFormat="1">
      <c r="C126" s="108"/>
      <c r="D126" s="108"/>
      <c r="E126" s="108"/>
    </row>
    <row r="127" spans="3:7" s="216" customFormat="1">
      <c r="C127" s="217"/>
      <c r="D127" s="217"/>
      <c r="E127" s="217"/>
      <c r="F127" s="7"/>
      <c r="G127" s="7"/>
    </row>
    <row r="128" spans="3:7">
      <c r="C128" s="217"/>
      <c r="D128" s="217"/>
      <c r="E128" s="217"/>
    </row>
    <row r="130" spans="3:5">
      <c r="C130" s="395"/>
      <c r="D130" s="395"/>
      <c r="E130" s="395"/>
    </row>
  </sheetData>
  <mergeCells count="1">
    <mergeCell ref="B4:E4"/>
  </mergeCells>
  <printOptions horizontalCentered="1"/>
  <pageMargins left="0.39370078740157483" right="0" top="7.874015748031496E-2" bottom="0" header="0" footer="0"/>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filterMode="1"/>
  <dimension ref="A1:AG277"/>
  <sheetViews>
    <sheetView showZeros="0" view="pageBreakPreview" zoomScale="60" zoomScaleNormal="75" workbookViewId="0">
      <pane xSplit="5" ySplit="8" topLeftCell="F115" activePane="bottomRight" state="frozen"/>
      <selection pane="topRight" activeCell="F1" sqref="F1"/>
      <selection pane="bottomLeft" activeCell="A20" sqref="A20"/>
      <selection pane="bottomRight" activeCell="L10" sqref="L10:L86"/>
    </sheetView>
  </sheetViews>
  <sheetFormatPr defaultRowHeight="12.75"/>
  <cols>
    <col min="1" max="1" width="19.85546875" customWidth="1"/>
    <col min="2" max="2" width="19.28515625" customWidth="1"/>
    <col min="3" max="3" width="16.42578125" bestFit="1" customWidth="1"/>
    <col min="4" max="4" width="49.28515625" customWidth="1"/>
    <col min="5" max="5" width="94.42578125" customWidth="1"/>
    <col min="6" max="6" width="20.7109375" customWidth="1"/>
    <col min="7" max="7" width="19.140625" customWidth="1"/>
    <col min="8" max="8" width="18.28515625" customWidth="1"/>
    <col min="9" max="9" width="21.7109375" customWidth="1"/>
    <col min="10" max="10" width="18.28515625" customWidth="1"/>
    <col min="11" max="11" width="22.85546875" customWidth="1"/>
    <col min="12" max="12" width="18.5703125" customWidth="1"/>
    <col min="13" max="13" width="18" customWidth="1"/>
    <col min="15" max="15" width="21.7109375" customWidth="1"/>
    <col min="16" max="16" width="10.85546875" bestFit="1" customWidth="1"/>
    <col min="17" max="17" width="14.7109375" bestFit="1" customWidth="1"/>
  </cols>
  <sheetData>
    <row r="1" spans="1:33" ht="18.75">
      <c r="A1" s="1"/>
      <c r="B1" s="1"/>
      <c r="C1" s="1"/>
      <c r="D1" s="1"/>
      <c r="E1" s="1"/>
      <c r="F1" s="1"/>
      <c r="H1" s="18" t="s">
        <v>302</v>
      </c>
      <c r="I1" s="18"/>
      <c r="J1" s="18"/>
      <c r="K1">
        <v>1</v>
      </c>
    </row>
    <row r="2" spans="1:33" ht="18.75">
      <c r="A2" s="1"/>
      <c r="B2" s="1"/>
      <c r="C2" s="1"/>
      <c r="D2" s="1"/>
      <c r="E2" s="1"/>
      <c r="F2" s="1"/>
      <c r="H2" s="18" t="s">
        <v>368</v>
      </c>
      <c r="I2" s="18"/>
      <c r="J2" s="1506"/>
      <c r="K2" s="1507">
        <v>1</v>
      </c>
      <c r="L2" s="1507"/>
      <c r="M2" s="1507"/>
      <c r="N2" s="1507"/>
      <c r="O2" s="1507"/>
      <c r="P2" s="1507"/>
      <c r="Q2" s="1507"/>
      <c r="R2" s="1507"/>
      <c r="S2" s="1507"/>
      <c r="T2" s="1507"/>
      <c r="U2" s="1507"/>
      <c r="V2" s="1507"/>
      <c r="W2" s="1507"/>
      <c r="X2" s="1507"/>
      <c r="Y2" s="1507"/>
      <c r="Z2" s="1507"/>
      <c r="AA2" s="1507"/>
      <c r="AB2" s="1507"/>
      <c r="AC2" s="1507"/>
      <c r="AD2" s="1507"/>
      <c r="AE2" s="1507"/>
      <c r="AF2" s="1507"/>
      <c r="AG2" s="1507"/>
    </row>
    <row r="3" spans="1:33" ht="18.75">
      <c r="A3" s="1"/>
      <c r="B3" s="1"/>
      <c r="C3" s="1"/>
      <c r="D3" s="1"/>
      <c r="E3" s="1"/>
      <c r="F3" s="1"/>
      <c r="H3" s="18" t="s">
        <v>2158</v>
      </c>
      <c r="I3" s="18"/>
      <c r="J3" s="1506"/>
      <c r="K3" s="1507">
        <v>1</v>
      </c>
      <c r="L3" s="1507"/>
      <c r="M3" s="1507"/>
      <c r="N3" s="1507"/>
      <c r="O3" s="1507"/>
      <c r="P3" s="1507"/>
      <c r="Q3" s="1507"/>
      <c r="R3" s="1507"/>
      <c r="S3" s="1507"/>
      <c r="T3" s="1507"/>
      <c r="U3" s="1507"/>
      <c r="V3" s="1507"/>
      <c r="W3" s="1507"/>
      <c r="X3" s="1507"/>
      <c r="Y3" s="1507"/>
      <c r="Z3" s="1507"/>
      <c r="AA3" s="1507"/>
      <c r="AB3" s="1507"/>
      <c r="AC3" s="1507"/>
      <c r="AD3" s="1507"/>
      <c r="AE3" s="1507"/>
      <c r="AF3" s="1507"/>
      <c r="AG3" s="1507"/>
    </row>
    <row r="4" spans="1:33" ht="13.15" customHeight="1">
      <c r="A4" s="86"/>
      <c r="B4" s="86"/>
      <c r="C4" s="86"/>
      <c r="D4" s="86"/>
      <c r="E4" s="86"/>
      <c r="F4" s="86"/>
      <c r="G4" s="935"/>
      <c r="H4" s="935"/>
      <c r="I4" s="904"/>
      <c r="J4" s="1508"/>
      <c r="K4" s="1509">
        <v>1</v>
      </c>
      <c r="L4" s="1507"/>
      <c r="M4" s="1507"/>
      <c r="N4" s="1507"/>
      <c r="O4" s="1507"/>
      <c r="P4" s="1507"/>
      <c r="Q4" s="1507"/>
      <c r="R4" s="1507"/>
      <c r="S4" s="1507"/>
      <c r="T4" s="1507"/>
      <c r="U4" s="1507"/>
      <c r="V4" s="1507"/>
      <c r="W4" s="1507"/>
      <c r="X4" s="1507"/>
      <c r="Y4" s="1507"/>
      <c r="Z4" s="1507"/>
      <c r="AA4" s="1507"/>
      <c r="AB4" s="1507"/>
      <c r="AC4" s="1507"/>
      <c r="AD4" s="1507"/>
      <c r="AE4" s="1507"/>
      <c r="AF4" s="1507"/>
      <c r="AG4" s="1507"/>
    </row>
    <row r="5" spans="1:33" ht="18.75">
      <c r="A5" s="1689" t="s">
        <v>1017</v>
      </c>
      <c r="B5" s="1689"/>
      <c r="C5" s="1689"/>
      <c r="D5" s="1689"/>
      <c r="E5" s="1689"/>
      <c r="F5" s="1689"/>
      <c r="G5" s="1689"/>
      <c r="H5" s="1689"/>
      <c r="I5" s="1689"/>
      <c r="J5" s="1510"/>
      <c r="K5" s="1507">
        <v>1</v>
      </c>
      <c r="L5" s="1507"/>
      <c r="M5" s="1507"/>
      <c r="N5" s="1507"/>
      <c r="O5" s="1507"/>
      <c r="P5" s="1507"/>
      <c r="Q5" s="1507"/>
      <c r="R5" s="1507"/>
      <c r="S5" s="1507"/>
      <c r="T5" s="1507"/>
      <c r="U5" s="1507"/>
      <c r="V5" s="1507"/>
      <c r="W5" s="1507"/>
      <c r="X5" s="1507"/>
      <c r="Y5" s="1507"/>
      <c r="Z5" s="1507"/>
      <c r="AA5" s="1507"/>
      <c r="AB5" s="1507"/>
      <c r="AC5" s="1507"/>
      <c r="AD5" s="1507"/>
      <c r="AE5" s="1507"/>
      <c r="AF5" s="1507"/>
      <c r="AG5" s="1507"/>
    </row>
    <row r="6" spans="1:33" ht="18">
      <c r="A6" s="101"/>
      <c r="B6" s="101"/>
      <c r="C6" s="101"/>
      <c r="D6" s="101"/>
      <c r="E6" s="101"/>
      <c r="F6" s="101"/>
      <c r="G6" s="101"/>
      <c r="I6" s="128" t="s">
        <v>982</v>
      </c>
      <c r="J6" s="1511"/>
      <c r="K6" s="1507">
        <v>1</v>
      </c>
      <c r="L6" s="1507"/>
      <c r="M6" s="1507"/>
      <c r="N6" s="1507"/>
      <c r="O6" s="1507"/>
      <c r="P6" s="1507"/>
      <c r="Q6" s="1507"/>
      <c r="R6" s="1507"/>
      <c r="S6" s="1507"/>
      <c r="T6" s="1507"/>
      <c r="U6" s="1507"/>
      <c r="V6" s="1507"/>
      <c r="W6" s="1507"/>
      <c r="X6" s="1507"/>
      <c r="Y6" s="1507"/>
      <c r="Z6" s="1507"/>
      <c r="AA6" s="1507"/>
      <c r="AB6" s="1507"/>
      <c r="AC6" s="1507"/>
      <c r="AD6" s="1507"/>
      <c r="AE6" s="1507"/>
      <c r="AF6" s="1507"/>
      <c r="AG6" s="1507"/>
    </row>
    <row r="7" spans="1:33" s="571" customFormat="1" ht="13.15" customHeight="1">
      <c r="A7" s="1690" t="s">
        <v>1001</v>
      </c>
      <c r="B7" s="1690" t="s">
        <v>999</v>
      </c>
      <c r="C7" s="1690" t="s">
        <v>1000</v>
      </c>
      <c r="D7" s="1615" t="s">
        <v>1002</v>
      </c>
      <c r="E7" s="1577" t="s">
        <v>1018</v>
      </c>
      <c r="F7" s="1577" t="s">
        <v>1019</v>
      </c>
      <c r="G7" s="1577" t="s">
        <v>1020</v>
      </c>
      <c r="H7" s="1577" t="s">
        <v>1021</v>
      </c>
      <c r="I7" s="1611" t="s">
        <v>1022</v>
      </c>
      <c r="J7" s="1512"/>
      <c r="K7" s="1507">
        <v>1</v>
      </c>
      <c r="L7" s="1507"/>
      <c r="M7" s="1507"/>
      <c r="N7" s="1507"/>
      <c r="O7" s="1507"/>
      <c r="P7" s="1507"/>
      <c r="Q7" s="1507"/>
      <c r="R7" s="1507"/>
      <c r="S7" s="1507"/>
      <c r="T7" s="1507"/>
      <c r="U7" s="1507"/>
      <c r="V7" s="1507"/>
      <c r="W7" s="1507"/>
      <c r="X7" s="1507"/>
      <c r="Y7" s="1507"/>
      <c r="Z7" s="1507"/>
      <c r="AA7" s="1507"/>
      <c r="AB7" s="1507"/>
      <c r="AC7" s="1507"/>
      <c r="AD7" s="1507"/>
      <c r="AE7" s="1507"/>
      <c r="AF7" s="1507"/>
      <c r="AG7" s="1507"/>
    </row>
    <row r="8" spans="1:33" s="571" customFormat="1" ht="97.15" customHeight="1">
      <c r="A8" s="1691"/>
      <c r="B8" s="1691"/>
      <c r="C8" s="1691"/>
      <c r="D8" s="1617"/>
      <c r="E8" s="1578"/>
      <c r="F8" s="1578"/>
      <c r="G8" s="1578"/>
      <c r="H8" s="1578"/>
      <c r="I8" s="1611"/>
      <c r="J8" s="1512"/>
      <c r="K8" s="1507">
        <v>1</v>
      </c>
      <c r="L8" s="1507"/>
      <c r="M8" s="1507"/>
      <c r="N8" s="1507"/>
      <c r="O8" s="1507"/>
      <c r="P8" s="1507"/>
      <c r="Q8" s="1507"/>
      <c r="R8" s="1507"/>
      <c r="S8" s="1507"/>
      <c r="T8" s="1507"/>
      <c r="U8" s="1507"/>
      <c r="V8" s="1507"/>
      <c r="W8" s="1507"/>
      <c r="X8" s="1507"/>
      <c r="Y8" s="1507"/>
      <c r="Z8" s="1507"/>
      <c r="AA8" s="1507"/>
      <c r="AB8" s="1507"/>
      <c r="AC8" s="1507"/>
      <c r="AD8" s="1507"/>
      <c r="AE8" s="1507"/>
      <c r="AF8" s="1507"/>
      <c r="AG8" s="1507"/>
    </row>
    <row r="9" spans="1:33" s="571" customFormat="1" ht="27.6" customHeight="1">
      <c r="A9" s="899" t="s">
        <v>379</v>
      </c>
      <c r="B9" s="899" t="s">
        <v>380</v>
      </c>
      <c r="C9" s="899" t="s">
        <v>381</v>
      </c>
      <c r="D9" s="900">
        <v>4</v>
      </c>
      <c r="E9" s="278">
        <v>5</v>
      </c>
      <c r="F9" s="278">
        <v>6</v>
      </c>
      <c r="G9" s="278">
        <v>7</v>
      </c>
      <c r="H9" s="278">
        <v>8</v>
      </c>
      <c r="I9" s="111">
        <v>9</v>
      </c>
      <c r="J9" s="1512"/>
      <c r="K9" s="1513">
        <v>1</v>
      </c>
      <c r="L9" s="1507"/>
      <c r="M9" s="1507"/>
      <c r="N9" s="1507"/>
      <c r="O9" s="1507"/>
      <c r="P9" s="1507"/>
      <c r="Q9" s="1507"/>
      <c r="R9" s="1507"/>
      <c r="S9" s="1507"/>
      <c r="T9" s="1507"/>
      <c r="U9" s="1507"/>
      <c r="V9" s="1507"/>
      <c r="W9" s="1507"/>
      <c r="X9" s="1507"/>
      <c r="Y9" s="1507"/>
      <c r="Z9" s="1507"/>
      <c r="AA9" s="1507"/>
      <c r="AB9" s="1507"/>
      <c r="AC9" s="1507"/>
      <c r="AD9" s="1507"/>
      <c r="AE9" s="1507"/>
      <c r="AF9" s="1507"/>
      <c r="AG9" s="1507"/>
    </row>
    <row r="10" spans="1:33" s="11" customFormat="1" ht="47.25">
      <c r="A10" s="287" t="s">
        <v>257</v>
      </c>
      <c r="B10" s="287"/>
      <c r="C10" s="287"/>
      <c r="D10" s="286" t="s">
        <v>590</v>
      </c>
      <c r="E10" s="287"/>
      <c r="F10" s="1315"/>
      <c r="G10" s="1339">
        <f>G11</f>
        <v>1970000</v>
      </c>
      <c r="H10" s="1339">
        <f>H11</f>
        <v>1000</v>
      </c>
      <c r="I10" s="1340"/>
      <c r="J10" s="1514"/>
      <c r="K10" s="1515">
        <f t="shared" ref="K10:K77" si="0">SUM(G10:H10)</f>
        <v>1971000</v>
      </c>
      <c r="L10" s="1536">
        <v>1000</v>
      </c>
      <c r="M10" s="1515">
        <f t="shared" ref="M10:M17" si="1">H10-L10</f>
        <v>0</v>
      </c>
      <c r="N10" s="1516"/>
      <c r="O10" s="1516"/>
      <c r="P10" s="1516"/>
      <c r="Q10" s="1516"/>
      <c r="R10" s="1516"/>
      <c r="S10" s="1516"/>
      <c r="T10" s="1516"/>
      <c r="U10" s="1516"/>
      <c r="V10" s="1516"/>
      <c r="W10" s="1516"/>
      <c r="X10" s="1516"/>
      <c r="Y10" s="1516"/>
      <c r="Z10" s="1516"/>
      <c r="AA10" s="1516"/>
      <c r="AB10" s="1516"/>
      <c r="AC10" s="1516"/>
      <c r="AD10" s="1516"/>
      <c r="AE10" s="1516"/>
      <c r="AF10" s="1516"/>
      <c r="AG10" s="1516"/>
    </row>
    <row r="11" spans="1:33" s="11" customFormat="1" ht="47.25">
      <c r="A11" s="287" t="s">
        <v>258</v>
      </c>
      <c r="B11" s="287"/>
      <c r="C11" s="287"/>
      <c r="D11" s="286" t="s">
        <v>590</v>
      </c>
      <c r="E11" s="287"/>
      <c r="F11" s="1315"/>
      <c r="G11" s="1339">
        <f>G12</f>
        <v>1970000</v>
      </c>
      <c r="H11" s="1339">
        <f>H12</f>
        <v>1000</v>
      </c>
      <c r="I11" s="1340"/>
      <c r="J11" s="1514"/>
      <c r="K11" s="1515">
        <f t="shared" si="0"/>
        <v>1971000</v>
      </c>
      <c r="L11" s="1536">
        <v>1000</v>
      </c>
      <c r="M11" s="1515">
        <f t="shared" si="1"/>
        <v>0</v>
      </c>
      <c r="N11" s="1516"/>
      <c r="O11" s="1516"/>
      <c r="P11" s="1516"/>
      <c r="Q11" s="1516"/>
      <c r="R11" s="1516"/>
      <c r="S11" s="1516"/>
      <c r="T11" s="1516"/>
      <c r="U11" s="1516"/>
      <c r="V11" s="1516"/>
      <c r="W11" s="1516"/>
      <c r="X11" s="1516"/>
      <c r="Y11" s="1516"/>
      <c r="Z11" s="1516"/>
      <c r="AA11" s="1516"/>
      <c r="AB11" s="1516"/>
      <c r="AC11" s="1516"/>
      <c r="AD11" s="1516"/>
      <c r="AE11" s="1516"/>
      <c r="AF11" s="1516"/>
      <c r="AG11" s="1516"/>
    </row>
    <row r="12" spans="1:33" s="408" customFormat="1" ht="31.5">
      <c r="A12" s="1144" t="s">
        <v>778</v>
      </c>
      <c r="B12" s="1144" t="s">
        <v>777</v>
      </c>
      <c r="C12" s="1144" t="s">
        <v>521</v>
      </c>
      <c r="D12" s="1145" t="s">
        <v>806</v>
      </c>
      <c r="E12" s="1318" t="s">
        <v>807</v>
      </c>
      <c r="F12" s="492"/>
      <c r="G12" s="1251">
        <v>1970000</v>
      </c>
      <c r="H12" s="1252">
        <v>1000</v>
      </c>
      <c r="I12" s="1135"/>
      <c r="J12" s="1517"/>
      <c r="K12" s="1518">
        <f t="shared" si="0"/>
        <v>1971000</v>
      </c>
      <c r="L12" s="1537">
        <v>1000</v>
      </c>
      <c r="M12" s="1518">
        <f t="shared" si="1"/>
        <v>0</v>
      </c>
      <c r="N12" s="1519"/>
      <c r="O12" s="1519"/>
      <c r="P12" s="1519"/>
      <c r="Q12" s="1519"/>
      <c r="R12" s="1519"/>
      <c r="S12" s="1519"/>
      <c r="T12" s="1519"/>
      <c r="U12" s="1519"/>
      <c r="V12" s="1519"/>
      <c r="W12" s="1519"/>
      <c r="X12" s="1519"/>
      <c r="Y12" s="1519"/>
      <c r="Z12" s="1519"/>
      <c r="AA12" s="1519"/>
      <c r="AB12" s="1519"/>
      <c r="AC12" s="1519"/>
      <c r="AD12" s="1519"/>
      <c r="AE12" s="1519"/>
      <c r="AF12" s="1519"/>
      <c r="AG12" s="1519"/>
    </row>
    <row r="13" spans="1:33" s="1350" customFormat="1" ht="47.25">
      <c r="A13" s="287" t="s">
        <v>329</v>
      </c>
      <c r="B13" s="287"/>
      <c r="C13" s="287"/>
      <c r="D13" s="286" t="s">
        <v>924</v>
      </c>
      <c r="E13" s="286"/>
      <c r="F13" s="1316"/>
      <c r="G13" s="1341">
        <f>G15</f>
        <v>200000</v>
      </c>
      <c r="H13" s="1341">
        <f>H15</f>
        <v>200000</v>
      </c>
      <c r="I13" s="1342"/>
      <c r="J13" s="1520"/>
      <c r="K13" s="1515">
        <f t="shared" si="0"/>
        <v>400000</v>
      </c>
      <c r="L13" s="1520">
        <v>200000</v>
      </c>
      <c r="M13" s="1515">
        <f t="shared" si="1"/>
        <v>0</v>
      </c>
      <c r="N13" s="1521"/>
      <c r="O13" s="1521"/>
      <c r="P13" s="1521"/>
      <c r="Q13" s="1521"/>
      <c r="R13" s="1521"/>
      <c r="S13" s="1521"/>
      <c r="T13" s="1521"/>
      <c r="U13" s="1521"/>
      <c r="V13" s="1521"/>
      <c r="W13" s="1521"/>
      <c r="X13" s="1521"/>
      <c r="Y13" s="1521"/>
      <c r="Z13" s="1521"/>
      <c r="AA13" s="1521"/>
      <c r="AB13" s="1521"/>
      <c r="AC13" s="1521"/>
      <c r="AD13" s="1521"/>
      <c r="AE13" s="1521"/>
      <c r="AF13" s="1521"/>
      <c r="AG13" s="1521"/>
    </row>
    <row r="14" spans="1:33" s="1350" customFormat="1" ht="47.25">
      <c r="A14" s="287" t="s">
        <v>330</v>
      </c>
      <c r="B14" s="287"/>
      <c r="C14" s="287"/>
      <c r="D14" s="286" t="s">
        <v>924</v>
      </c>
      <c r="E14" s="286"/>
      <c r="F14" s="1316"/>
      <c r="G14" s="1341">
        <f>G15</f>
        <v>200000</v>
      </c>
      <c r="H14" s="1341">
        <f>H15</f>
        <v>200000</v>
      </c>
      <c r="I14" s="1342"/>
      <c r="J14" s="1520"/>
      <c r="K14" s="1515">
        <f t="shared" si="0"/>
        <v>400000</v>
      </c>
      <c r="L14" s="1520">
        <v>200000</v>
      </c>
      <c r="M14" s="1515">
        <f t="shared" si="1"/>
        <v>0</v>
      </c>
      <c r="N14" s="1521"/>
      <c r="O14" s="1521"/>
      <c r="P14" s="1521"/>
      <c r="Q14" s="1521"/>
      <c r="R14" s="1521"/>
      <c r="S14" s="1521"/>
      <c r="T14" s="1521"/>
      <c r="U14" s="1521"/>
      <c r="V14" s="1521"/>
      <c r="W14" s="1521"/>
      <c r="X14" s="1521"/>
      <c r="Y14" s="1521"/>
      <c r="Z14" s="1521"/>
      <c r="AA14" s="1521"/>
      <c r="AB14" s="1521"/>
      <c r="AC14" s="1521"/>
      <c r="AD14" s="1521"/>
      <c r="AE14" s="1521"/>
      <c r="AF14" s="1521"/>
      <c r="AG14" s="1521"/>
    </row>
    <row r="15" spans="1:33" s="408" customFormat="1" ht="47.25">
      <c r="A15" s="42" t="s">
        <v>956</v>
      </c>
      <c r="B15" s="42" t="s">
        <v>747</v>
      </c>
      <c r="C15" s="42" t="s">
        <v>521</v>
      </c>
      <c r="D15" s="41" t="s">
        <v>1989</v>
      </c>
      <c r="E15" s="41" t="s">
        <v>1070</v>
      </c>
      <c r="F15" s="1351">
        <v>2019</v>
      </c>
      <c r="G15" s="1251">
        <v>200000</v>
      </c>
      <c r="H15" s="1252">
        <v>200000</v>
      </c>
      <c r="I15" s="1352"/>
      <c r="J15" s="1522"/>
      <c r="K15" s="1518">
        <f t="shared" si="0"/>
        <v>400000</v>
      </c>
      <c r="L15" s="1538">
        <v>200000</v>
      </c>
      <c r="M15" s="1518">
        <f t="shared" si="1"/>
        <v>0</v>
      </c>
      <c r="N15" s="1519"/>
      <c r="O15" s="1519"/>
      <c r="P15" s="1519"/>
      <c r="Q15" s="1519"/>
      <c r="R15" s="1519"/>
      <c r="S15" s="1519"/>
      <c r="T15" s="1519"/>
      <c r="U15" s="1519"/>
      <c r="V15" s="1519"/>
      <c r="W15" s="1519"/>
      <c r="X15" s="1519"/>
      <c r="Y15" s="1519"/>
      <c r="Z15" s="1519"/>
      <c r="AA15" s="1519"/>
      <c r="AB15" s="1519"/>
      <c r="AC15" s="1519"/>
      <c r="AD15" s="1519"/>
      <c r="AE15" s="1519"/>
      <c r="AF15" s="1519"/>
      <c r="AG15" s="1519"/>
    </row>
    <row r="16" spans="1:33" s="11" customFormat="1" ht="47.25">
      <c r="A16" s="287" t="s">
        <v>544</v>
      </c>
      <c r="B16" s="287"/>
      <c r="C16" s="287"/>
      <c r="D16" s="286" t="s">
        <v>896</v>
      </c>
      <c r="E16" s="287"/>
      <c r="F16" s="1315"/>
      <c r="G16" s="1339">
        <f>G17</f>
        <v>952382600.81999993</v>
      </c>
      <c r="H16" s="1339">
        <f>H17</f>
        <v>213184262</v>
      </c>
      <c r="I16" s="1339"/>
      <c r="J16" s="1523"/>
      <c r="K16" s="1515">
        <f t="shared" si="0"/>
        <v>1165566862.8199999</v>
      </c>
      <c r="L16" s="1482">
        <v>160794600</v>
      </c>
      <c r="M16" s="1515">
        <f t="shared" si="1"/>
        <v>52389662</v>
      </c>
      <c r="N16" s="1516"/>
      <c r="O16" s="1516"/>
      <c r="P16" s="1516"/>
      <c r="Q16" s="1516"/>
      <c r="R16" s="1516"/>
      <c r="S16" s="1516"/>
      <c r="T16" s="1516"/>
      <c r="U16" s="1516"/>
      <c r="V16" s="1516"/>
      <c r="W16" s="1516"/>
      <c r="X16" s="1516"/>
      <c r="Y16" s="1516"/>
      <c r="Z16" s="1516"/>
      <c r="AA16" s="1516"/>
      <c r="AB16" s="1516"/>
      <c r="AC16" s="1516"/>
      <c r="AD16" s="1516"/>
      <c r="AE16" s="1516"/>
      <c r="AF16" s="1516"/>
      <c r="AG16" s="1516"/>
    </row>
    <row r="17" spans="1:33" s="11" customFormat="1" ht="47.25">
      <c r="A17" s="1253" t="s">
        <v>545</v>
      </c>
      <c r="B17" s="1253"/>
      <c r="C17" s="1253"/>
      <c r="D17" s="286" t="s">
        <v>896</v>
      </c>
      <c r="E17" s="287"/>
      <c r="F17" s="1315"/>
      <c r="G17" s="1339">
        <f>SUM(G18:G118)</f>
        <v>952382600.81999993</v>
      </c>
      <c r="H17" s="1339">
        <f>SUM(H18:H118)</f>
        <v>213184262</v>
      </c>
      <c r="I17" s="1339"/>
      <c r="J17" s="1523">
        <f>[1]дод3!Q181+[1]дод3!Q182+[1]дод3!Q183+[1]дод3!Q185+[1]дод3!Q186+[1]дод3!Q188+[1]дод3!Q190</f>
        <v>216888987</v>
      </c>
      <c r="K17" s="1515">
        <f t="shared" si="0"/>
        <v>1165566862.8199999</v>
      </c>
      <c r="L17" s="1482">
        <v>160794600</v>
      </c>
      <c r="M17" s="1515">
        <f t="shared" si="1"/>
        <v>52389662</v>
      </c>
      <c r="N17" s="1516"/>
      <c r="O17" s="1516"/>
      <c r="P17" s="1516"/>
      <c r="Q17" s="1516"/>
      <c r="R17" s="1516"/>
      <c r="S17" s="1516"/>
      <c r="T17" s="1516"/>
      <c r="U17" s="1516"/>
      <c r="V17" s="1516"/>
      <c r="W17" s="1516"/>
      <c r="X17" s="1516"/>
      <c r="Y17" s="1516"/>
      <c r="Z17" s="1516"/>
      <c r="AA17" s="1516"/>
      <c r="AB17" s="1516"/>
      <c r="AC17" s="1516"/>
      <c r="AD17" s="1516"/>
      <c r="AE17" s="1516"/>
      <c r="AF17" s="1516"/>
      <c r="AG17" s="1516"/>
    </row>
    <row r="18" spans="1:33" ht="47.25" customHeight="1">
      <c r="A18" s="1682">
        <v>1611080</v>
      </c>
      <c r="B18" s="1682">
        <v>1080</v>
      </c>
      <c r="C18" s="1676" t="s">
        <v>12</v>
      </c>
      <c r="D18" s="1686" t="s">
        <v>1903</v>
      </c>
      <c r="E18" s="1254" t="s">
        <v>1904</v>
      </c>
      <c r="F18" s="1353"/>
      <c r="G18" s="1354">
        <v>21527798</v>
      </c>
      <c r="H18" s="1355">
        <f>849565</f>
        <v>849565</v>
      </c>
      <c r="I18" s="1356">
        <v>49.5</v>
      </c>
      <c r="J18" s="1523"/>
      <c r="K18" s="1518">
        <f t="shared" si="0"/>
        <v>22377363</v>
      </c>
      <c r="L18" s="1482"/>
      <c r="M18" s="1518"/>
      <c r="N18" s="1507"/>
      <c r="O18" s="1507"/>
      <c r="P18" s="1507"/>
      <c r="Q18" s="1507"/>
      <c r="R18" s="1507"/>
      <c r="S18" s="1507"/>
      <c r="T18" s="1507"/>
      <c r="U18" s="1507"/>
      <c r="V18" s="1507"/>
      <c r="W18" s="1507"/>
      <c r="X18" s="1507"/>
      <c r="Y18" s="1507"/>
      <c r="Z18" s="1507"/>
      <c r="AA18" s="1507"/>
      <c r="AB18" s="1507"/>
      <c r="AC18" s="1507"/>
      <c r="AD18" s="1507"/>
      <c r="AE18" s="1507"/>
      <c r="AF18" s="1507"/>
      <c r="AG18" s="1507"/>
    </row>
    <row r="19" spans="1:33" ht="31.5">
      <c r="A19" s="1683"/>
      <c r="B19" s="1683"/>
      <c r="C19" s="1685"/>
      <c r="D19" s="1687"/>
      <c r="E19" s="1254" t="s">
        <v>1905</v>
      </c>
      <c r="F19" s="424"/>
      <c r="G19" s="1356"/>
      <c r="H19" s="1355">
        <f>1305900+293177</f>
        <v>1599077</v>
      </c>
      <c r="I19" s="1356"/>
      <c r="J19" s="1523"/>
      <c r="K19" s="1518">
        <f t="shared" si="0"/>
        <v>1599077</v>
      </c>
      <c r="L19" s="1482"/>
      <c r="M19" s="1518"/>
      <c r="N19" s="1507"/>
      <c r="O19" s="1507"/>
      <c r="P19" s="1507"/>
      <c r="Q19" s="1507"/>
      <c r="R19" s="1507"/>
      <c r="S19" s="1507"/>
      <c r="T19" s="1507"/>
      <c r="U19" s="1507"/>
      <c r="V19" s="1507"/>
      <c r="W19" s="1507"/>
      <c r="X19" s="1507"/>
      <c r="Y19" s="1507"/>
      <c r="Z19" s="1507"/>
      <c r="AA19" s="1507"/>
      <c r="AB19" s="1507"/>
      <c r="AC19" s="1507"/>
      <c r="AD19" s="1507"/>
      <c r="AE19" s="1507"/>
      <c r="AF19" s="1507"/>
      <c r="AG19" s="1507"/>
    </row>
    <row r="20" spans="1:33" ht="47.25">
      <c r="A20" s="1683"/>
      <c r="B20" s="1683"/>
      <c r="C20" s="1685"/>
      <c r="D20" s="1687"/>
      <c r="E20" s="1254" t="s">
        <v>1906</v>
      </c>
      <c r="F20" s="424"/>
      <c r="G20" s="1357">
        <v>22089723</v>
      </c>
      <c r="H20" s="1355">
        <f>3078000+4232000</f>
        <v>7310000</v>
      </c>
      <c r="I20" s="1356"/>
      <c r="J20" s="1523"/>
      <c r="K20" s="1518">
        <f t="shared" si="0"/>
        <v>29399723</v>
      </c>
      <c r="L20" s="1482"/>
      <c r="M20" s="1518"/>
      <c r="N20" s="1507"/>
      <c r="O20" s="1507"/>
      <c r="P20" s="1507"/>
      <c r="Q20" s="1507"/>
      <c r="R20" s="1507"/>
      <c r="S20" s="1507"/>
      <c r="T20" s="1507"/>
      <c r="U20" s="1507"/>
      <c r="V20" s="1507"/>
      <c r="W20" s="1507"/>
      <c r="X20" s="1507"/>
      <c r="Y20" s="1507"/>
      <c r="Z20" s="1507"/>
      <c r="AA20" s="1507"/>
      <c r="AB20" s="1507"/>
      <c r="AC20" s="1507"/>
      <c r="AD20" s="1507"/>
      <c r="AE20" s="1507"/>
      <c r="AF20" s="1507"/>
      <c r="AG20" s="1507"/>
    </row>
    <row r="21" spans="1:33" ht="47.25">
      <c r="A21" s="1684"/>
      <c r="B21" s="1684"/>
      <c r="C21" s="1677"/>
      <c r="D21" s="1688"/>
      <c r="E21" s="1254" t="s">
        <v>1907</v>
      </c>
      <c r="F21" s="424"/>
      <c r="G21" s="1356"/>
      <c r="H21" s="1355">
        <v>1875080</v>
      </c>
      <c r="I21" s="1356"/>
      <c r="J21" s="1523"/>
      <c r="K21" s="1518">
        <f t="shared" si="0"/>
        <v>1875080</v>
      </c>
      <c r="L21" s="1482"/>
      <c r="M21" s="1518"/>
      <c r="N21" s="1507"/>
      <c r="O21" s="1507"/>
      <c r="P21" s="1507"/>
      <c r="Q21" s="1507"/>
      <c r="R21" s="1507"/>
      <c r="S21" s="1507"/>
      <c r="T21" s="1507"/>
      <c r="U21" s="1507"/>
      <c r="V21" s="1507"/>
      <c r="W21" s="1507"/>
      <c r="X21" s="1507"/>
      <c r="Y21" s="1507"/>
      <c r="Z21" s="1507"/>
      <c r="AA21" s="1507"/>
      <c r="AB21" s="1507"/>
      <c r="AC21" s="1507"/>
      <c r="AD21" s="1507"/>
      <c r="AE21" s="1507"/>
      <c r="AF21" s="1507"/>
      <c r="AG21" s="1507"/>
    </row>
    <row r="22" spans="1:33" ht="48.6" customHeight="1">
      <c r="A22" s="1424">
        <v>1612070</v>
      </c>
      <c r="B22" s="1424">
        <v>2070</v>
      </c>
      <c r="C22" s="1425" t="s">
        <v>133</v>
      </c>
      <c r="D22" s="41" t="s">
        <v>780</v>
      </c>
      <c r="E22" s="1255" t="s">
        <v>2149</v>
      </c>
      <c r="F22" s="1358"/>
      <c r="G22" s="1356"/>
      <c r="H22" s="1355">
        <v>13000000</v>
      </c>
      <c r="I22" s="1356"/>
      <c r="J22" s="1523"/>
      <c r="K22" s="1518"/>
      <c r="L22" s="1482"/>
      <c r="M22" s="1518"/>
      <c r="N22" s="1507"/>
      <c r="O22" s="1507"/>
      <c r="P22" s="1507"/>
      <c r="Q22" s="1507"/>
      <c r="R22" s="1507"/>
      <c r="S22" s="1507"/>
      <c r="T22" s="1507"/>
      <c r="U22" s="1507"/>
      <c r="V22" s="1507"/>
      <c r="W22" s="1507"/>
      <c r="X22" s="1507"/>
      <c r="Y22" s="1507"/>
      <c r="Z22" s="1507"/>
      <c r="AA22" s="1507"/>
      <c r="AB22" s="1507"/>
      <c r="AC22" s="1507"/>
      <c r="AD22" s="1507"/>
      <c r="AE22" s="1507"/>
      <c r="AF22" s="1507"/>
      <c r="AG22" s="1507"/>
    </row>
    <row r="23" spans="1:33" ht="47.25">
      <c r="A23" s="1682">
        <v>1617321</v>
      </c>
      <c r="B23" s="1682">
        <v>7321</v>
      </c>
      <c r="C23" s="1676" t="s">
        <v>521</v>
      </c>
      <c r="D23" s="1686" t="s">
        <v>1908</v>
      </c>
      <c r="E23" s="1255" t="s">
        <v>1909</v>
      </c>
      <c r="F23" s="1358"/>
      <c r="G23" s="1356"/>
      <c r="H23" s="1355">
        <f>3922</f>
        <v>3922</v>
      </c>
      <c r="I23" s="1356"/>
      <c r="J23" s="1523"/>
      <c r="K23" s="1518">
        <f t="shared" si="0"/>
        <v>3922</v>
      </c>
      <c r="L23" s="1482"/>
      <c r="M23" s="1518"/>
      <c r="N23" s="1507"/>
      <c r="O23" s="1507"/>
      <c r="P23" s="1507"/>
      <c r="Q23" s="1507"/>
      <c r="R23" s="1507"/>
      <c r="S23" s="1507"/>
      <c r="T23" s="1507"/>
      <c r="U23" s="1507"/>
      <c r="V23" s="1507"/>
      <c r="W23" s="1507"/>
      <c r="X23" s="1507"/>
      <c r="Y23" s="1507"/>
      <c r="Z23" s="1507"/>
      <c r="AA23" s="1507"/>
      <c r="AB23" s="1507"/>
      <c r="AC23" s="1507"/>
      <c r="AD23" s="1507"/>
      <c r="AE23" s="1507"/>
      <c r="AF23" s="1507"/>
      <c r="AG23" s="1507"/>
    </row>
    <row r="24" spans="1:33" ht="31.5">
      <c r="A24" s="1684"/>
      <c r="B24" s="1684"/>
      <c r="C24" s="1677"/>
      <c r="D24" s="1688"/>
      <c r="E24" s="1255" t="s">
        <v>1910</v>
      </c>
      <c r="F24" s="1358"/>
      <c r="G24" s="1356"/>
      <c r="H24" s="1355">
        <v>15475</v>
      </c>
      <c r="I24" s="1356"/>
      <c r="J24" s="1523"/>
      <c r="K24" s="1518">
        <f t="shared" si="0"/>
        <v>15475</v>
      </c>
      <c r="L24" s="1482"/>
      <c r="M24" s="1518"/>
      <c r="N24" s="1507"/>
      <c r="O24" s="1507"/>
      <c r="P24" s="1507"/>
      <c r="Q24" s="1507"/>
      <c r="R24" s="1507"/>
      <c r="S24" s="1507"/>
      <c r="T24" s="1507"/>
      <c r="U24" s="1507"/>
      <c r="V24" s="1507"/>
      <c r="W24" s="1507"/>
      <c r="X24" s="1507"/>
      <c r="Y24" s="1507"/>
      <c r="Z24" s="1507"/>
      <c r="AA24" s="1507"/>
      <c r="AB24" s="1507"/>
      <c r="AC24" s="1507"/>
      <c r="AD24" s="1507"/>
      <c r="AE24" s="1507"/>
      <c r="AF24" s="1507"/>
      <c r="AG24" s="1507"/>
    </row>
    <row r="25" spans="1:33" s="1117" customFormat="1" ht="78.75">
      <c r="A25" s="1329" t="s">
        <v>565</v>
      </c>
      <c r="B25" s="1329" t="s">
        <v>566</v>
      </c>
      <c r="C25" s="1330" t="s">
        <v>521</v>
      </c>
      <c r="D25" s="1118" t="s">
        <v>1071</v>
      </c>
      <c r="E25" s="1256" t="s">
        <v>1911</v>
      </c>
      <c r="F25" s="1343"/>
      <c r="G25" s="1344"/>
      <c r="H25" s="1355">
        <f>5000000-4700000</f>
        <v>300000</v>
      </c>
      <c r="I25" s="1355"/>
      <c r="J25" s="1523">
        <f>[1]дод3!Q183</f>
        <v>300000</v>
      </c>
      <c r="K25" s="1518">
        <f t="shared" si="0"/>
        <v>300000</v>
      </c>
      <c r="L25" s="1539">
        <v>5000000</v>
      </c>
      <c r="M25" s="1518">
        <f>H25-L25</f>
        <v>-4700000</v>
      </c>
      <c r="N25" s="1507"/>
      <c r="O25" s="1507"/>
      <c r="P25" s="1507"/>
      <c r="Q25" s="1507"/>
      <c r="R25" s="1507"/>
      <c r="S25" s="1507"/>
      <c r="T25" s="1507"/>
      <c r="U25" s="1507"/>
      <c r="V25" s="1507"/>
      <c r="W25" s="1507"/>
      <c r="X25" s="1507"/>
      <c r="Y25" s="1507"/>
      <c r="Z25" s="1507"/>
      <c r="AA25" s="1507"/>
      <c r="AB25" s="1507"/>
      <c r="AC25" s="1507"/>
      <c r="AD25" s="1507"/>
      <c r="AE25" s="1507"/>
      <c r="AF25" s="1507"/>
      <c r="AG25" s="1507"/>
    </row>
    <row r="26" spans="1:33" s="1117" customFormat="1" ht="18.75">
      <c r="A26" s="1674" t="s">
        <v>1284</v>
      </c>
      <c r="B26" s="1674" t="s">
        <v>777</v>
      </c>
      <c r="C26" s="1676" t="s">
        <v>521</v>
      </c>
      <c r="D26" s="1678" t="s">
        <v>1912</v>
      </c>
      <c r="E26" s="1255" t="s">
        <v>1913</v>
      </c>
      <c r="F26" s="432"/>
      <c r="G26" s="1359"/>
      <c r="H26" s="1355">
        <v>350000</v>
      </c>
      <c r="I26" s="1355"/>
      <c r="J26" s="1523"/>
      <c r="K26" s="1518">
        <f t="shared" si="0"/>
        <v>350000</v>
      </c>
      <c r="L26" s="1539"/>
      <c r="M26" s="1518"/>
      <c r="N26" s="1507"/>
      <c r="O26" s="1507"/>
      <c r="P26" s="1507"/>
      <c r="Q26" s="1507"/>
      <c r="R26" s="1507"/>
      <c r="S26" s="1507"/>
      <c r="T26" s="1507"/>
      <c r="U26" s="1507"/>
      <c r="V26" s="1507"/>
      <c r="W26" s="1507"/>
      <c r="X26" s="1507"/>
      <c r="Y26" s="1507"/>
      <c r="Z26" s="1507"/>
      <c r="AA26" s="1507"/>
      <c r="AB26" s="1507"/>
      <c r="AC26" s="1507"/>
      <c r="AD26" s="1507"/>
      <c r="AE26" s="1507"/>
      <c r="AF26" s="1507"/>
      <c r="AG26" s="1507"/>
    </row>
    <row r="27" spans="1:33" s="1117" customFormat="1" ht="31.5">
      <c r="A27" s="1675"/>
      <c r="B27" s="1675"/>
      <c r="C27" s="1677"/>
      <c r="D27" s="1679"/>
      <c r="E27" s="1254" t="s">
        <v>1914</v>
      </c>
      <c r="F27" s="432"/>
      <c r="G27" s="1359"/>
      <c r="H27" s="1355">
        <v>600000</v>
      </c>
      <c r="I27" s="1355"/>
      <c r="J27" s="1523"/>
      <c r="K27" s="1518">
        <f t="shared" si="0"/>
        <v>600000</v>
      </c>
      <c r="L27" s="1539"/>
      <c r="M27" s="1518"/>
      <c r="N27" s="1507"/>
      <c r="O27" s="1507"/>
      <c r="P27" s="1507"/>
      <c r="Q27" s="1507"/>
      <c r="R27" s="1507"/>
      <c r="S27" s="1507"/>
      <c r="T27" s="1507"/>
      <c r="U27" s="1507"/>
      <c r="V27" s="1507"/>
      <c r="W27" s="1507"/>
      <c r="X27" s="1507"/>
      <c r="Y27" s="1507"/>
      <c r="Z27" s="1507"/>
      <c r="AA27" s="1507"/>
      <c r="AB27" s="1507"/>
      <c r="AC27" s="1507"/>
      <c r="AD27" s="1507"/>
      <c r="AE27" s="1507"/>
      <c r="AF27" s="1507"/>
      <c r="AG27" s="1507"/>
    </row>
    <row r="28" spans="1:33" s="1117" customFormat="1" ht="31.5">
      <c r="A28" s="1011">
        <v>1617325</v>
      </c>
      <c r="B28" s="1680">
        <v>7325</v>
      </c>
      <c r="C28" s="1676" t="s">
        <v>521</v>
      </c>
      <c r="D28" s="1115" t="s">
        <v>790</v>
      </c>
      <c r="E28" s="1254" t="s">
        <v>1915</v>
      </c>
      <c r="F28" s="102"/>
      <c r="G28" s="1346">
        <v>1171486.6000000001</v>
      </c>
      <c r="H28" s="1355">
        <v>992700</v>
      </c>
      <c r="I28" s="1355">
        <v>84.8</v>
      </c>
      <c r="J28" s="1523">
        <f>[1]дод3!Q185</f>
        <v>2442700</v>
      </c>
      <c r="K28" s="1518">
        <f t="shared" si="0"/>
        <v>2164186.6</v>
      </c>
      <c r="L28" s="1540">
        <v>992700</v>
      </c>
      <c r="M28" s="1518">
        <f t="shared" ref="M28:M33" si="2">H28-L28</f>
        <v>0</v>
      </c>
      <c r="N28" s="1507"/>
      <c r="O28" s="1507"/>
      <c r="P28" s="1507"/>
      <c r="Q28" s="1507"/>
      <c r="R28" s="1507"/>
      <c r="S28" s="1507"/>
      <c r="T28" s="1507"/>
      <c r="U28" s="1507"/>
      <c r="V28" s="1507"/>
      <c r="W28" s="1507"/>
      <c r="X28" s="1507"/>
      <c r="Y28" s="1507"/>
      <c r="Z28" s="1507"/>
      <c r="AA28" s="1507"/>
      <c r="AB28" s="1507"/>
      <c r="AC28" s="1507"/>
      <c r="AD28" s="1507"/>
      <c r="AE28" s="1507"/>
      <c r="AF28" s="1507"/>
      <c r="AG28" s="1507"/>
    </row>
    <row r="29" spans="1:33" s="1117" customFormat="1" ht="47.25">
      <c r="A29" s="1331"/>
      <c r="B29" s="1681"/>
      <c r="C29" s="1677"/>
      <c r="D29" s="1118"/>
      <c r="E29" s="1254" t="s">
        <v>2096</v>
      </c>
      <c r="F29" s="102"/>
      <c r="G29" s="1360"/>
      <c r="H29" s="1355">
        <v>1450000</v>
      </c>
      <c r="I29" s="892"/>
      <c r="J29" s="1523"/>
      <c r="K29" s="1518">
        <f t="shared" si="0"/>
        <v>1450000</v>
      </c>
      <c r="L29" s="1540">
        <v>1450000</v>
      </c>
      <c r="M29" s="1518">
        <f t="shared" si="2"/>
        <v>0</v>
      </c>
      <c r="N29" s="1507"/>
      <c r="O29" s="1507"/>
      <c r="P29" s="1507"/>
      <c r="Q29" s="1507"/>
      <c r="R29" s="1507"/>
      <c r="S29" s="1507"/>
      <c r="T29" s="1507"/>
      <c r="U29" s="1507"/>
      <c r="V29" s="1507"/>
      <c r="W29" s="1507"/>
      <c r="X29" s="1507"/>
      <c r="Y29" s="1507"/>
      <c r="Z29" s="1507"/>
      <c r="AA29" s="1507"/>
      <c r="AB29" s="1507"/>
      <c r="AC29" s="1507"/>
      <c r="AD29" s="1507"/>
      <c r="AE29" s="1507"/>
      <c r="AF29" s="1507"/>
      <c r="AG29" s="1507"/>
    </row>
    <row r="30" spans="1:33" s="1117" customFormat="1" ht="47.25">
      <c r="A30" s="1011" t="s">
        <v>839</v>
      </c>
      <c r="B30" s="1011" t="s">
        <v>840</v>
      </c>
      <c r="C30" s="1011" t="s">
        <v>521</v>
      </c>
      <c r="D30" s="1257" t="s">
        <v>1191</v>
      </c>
      <c r="E30" s="1255" t="s">
        <v>1072</v>
      </c>
      <c r="F30" s="424"/>
      <c r="G30" s="1356">
        <v>3388343</v>
      </c>
      <c r="H30" s="892">
        <v>3388343</v>
      </c>
      <c r="I30" s="1356">
        <v>75.8</v>
      </c>
      <c r="J30" s="1523">
        <f>[1]дод3!Q186</f>
        <v>7343595</v>
      </c>
      <c r="K30" s="1518">
        <f t="shared" si="0"/>
        <v>6776686</v>
      </c>
      <c r="L30" s="1541">
        <v>4232000</v>
      </c>
      <c r="M30" s="1518">
        <f t="shared" si="2"/>
        <v>-843657</v>
      </c>
      <c r="N30" s="1507"/>
      <c r="O30" s="1507"/>
      <c r="P30" s="1507"/>
      <c r="Q30" s="1507"/>
      <c r="R30" s="1507"/>
      <c r="S30" s="1507"/>
      <c r="T30" s="1507"/>
      <c r="U30" s="1507"/>
      <c r="V30" s="1507"/>
      <c r="W30" s="1507"/>
      <c r="X30" s="1507"/>
      <c r="Y30" s="1507"/>
      <c r="Z30" s="1507"/>
      <c r="AA30" s="1507"/>
      <c r="AB30" s="1507"/>
      <c r="AC30" s="1507"/>
      <c r="AD30" s="1507"/>
      <c r="AE30" s="1507"/>
      <c r="AF30" s="1507"/>
      <c r="AG30" s="1507"/>
    </row>
    <row r="31" spans="1:33" s="1117" customFormat="1" ht="18.75">
      <c r="A31" s="1332"/>
      <c r="B31" s="1332"/>
      <c r="C31" s="1332"/>
      <c r="D31" s="1118"/>
      <c r="E31" s="1254" t="s">
        <v>1073</v>
      </c>
      <c r="F31" s="424"/>
      <c r="G31" s="1356"/>
      <c r="H31" s="892">
        <v>1800000</v>
      </c>
      <c r="I31" s="1356"/>
      <c r="J31" s="1523"/>
      <c r="K31" s="1518">
        <f t="shared" si="0"/>
        <v>1800000</v>
      </c>
      <c r="L31" s="1541">
        <v>2500000</v>
      </c>
      <c r="M31" s="1518">
        <f t="shared" si="2"/>
        <v>-700000</v>
      </c>
      <c r="N31" s="1507"/>
      <c r="O31" s="1507"/>
      <c r="P31" s="1507"/>
      <c r="Q31" s="1507"/>
      <c r="R31" s="1507"/>
      <c r="S31" s="1507"/>
      <c r="T31" s="1507"/>
      <c r="U31" s="1507"/>
      <c r="V31" s="1507"/>
      <c r="W31" s="1507"/>
      <c r="X31" s="1507"/>
      <c r="Y31" s="1507"/>
      <c r="Z31" s="1507"/>
      <c r="AA31" s="1507"/>
      <c r="AB31" s="1507"/>
      <c r="AC31" s="1507"/>
      <c r="AD31" s="1507"/>
      <c r="AE31" s="1507"/>
      <c r="AF31" s="1507"/>
      <c r="AG31" s="1507"/>
    </row>
    <row r="32" spans="1:33" s="1117" customFormat="1" ht="31.5">
      <c r="A32" s="1332"/>
      <c r="B32" s="1332"/>
      <c r="C32" s="1332"/>
      <c r="D32" s="1118"/>
      <c r="E32" s="1145" t="s">
        <v>1186</v>
      </c>
      <c r="F32" s="1317"/>
      <c r="G32" s="1345">
        <v>4142879</v>
      </c>
      <c r="H32" s="892">
        <v>410898</v>
      </c>
      <c r="I32" s="1356">
        <v>77.7</v>
      </c>
      <c r="J32" s="1523"/>
      <c r="K32" s="1518">
        <f t="shared" si="0"/>
        <v>4553777</v>
      </c>
      <c r="L32" s="1541">
        <v>1305900</v>
      </c>
      <c r="M32" s="1518">
        <f t="shared" si="2"/>
        <v>-895002</v>
      </c>
      <c r="N32" s="1507"/>
      <c r="O32" s="1507"/>
      <c r="P32" s="1507"/>
      <c r="Q32" s="1507"/>
      <c r="R32" s="1507"/>
      <c r="S32" s="1507"/>
      <c r="T32" s="1507"/>
      <c r="U32" s="1507"/>
      <c r="V32" s="1507"/>
      <c r="W32" s="1507"/>
      <c r="X32" s="1507"/>
      <c r="Y32" s="1507"/>
      <c r="Z32" s="1507"/>
      <c r="AA32" s="1507"/>
      <c r="AB32" s="1507"/>
      <c r="AC32" s="1507"/>
      <c r="AD32" s="1507"/>
      <c r="AE32" s="1507"/>
      <c r="AF32" s="1507"/>
      <c r="AG32" s="1507"/>
    </row>
    <row r="33" spans="1:33" s="1117" customFormat="1" ht="31.5">
      <c r="A33" s="1332"/>
      <c r="B33" s="1332"/>
      <c r="C33" s="1332"/>
      <c r="D33" s="1118"/>
      <c r="E33" s="1145" t="s">
        <v>1187</v>
      </c>
      <c r="F33" s="1317"/>
      <c r="G33" s="1345">
        <v>2990944</v>
      </c>
      <c r="H33" s="892">
        <v>156219</v>
      </c>
      <c r="I33" s="1356">
        <v>74.3</v>
      </c>
      <c r="J33" s="1523"/>
      <c r="K33" s="1518">
        <f t="shared" si="0"/>
        <v>3147163</v>
      </c>
      <c r="L33" s="1541">
        <v>5000000</v>
      </c>
      <c r="M33" s="1518">
        <f t="shared" si="2"/>
        <v>-4843781</v>
      </c>
      <c r="N33" s="1507"/>
      <c r="O33" s="1507"/>
      <c r="P33" s="1507"/>
      <c r="Q33" s="1507"/>
      <c r="R33" s="1507"/>
      <c r="S33" s="1507"/>
      <c r="T33" s="1507"/>
      <c r="U33" s="1507"/>
      <c r="V33" s="1507"/>
      <c r="W33" s="1507"/>
      <c r="X33" s="1507"/>
      <c r="Y33" s="1507"/>
      <c r="Z33" s="1507"/>
      <c r="AA33" s="1507"/>
      <c r="AB33" s="1507"/>
      <c r="AC33" s="1507"/>
      <c r="AD33" s="1507"/>
      <c r="AE33" s="1507"/>
      <c r="AF33" s="1507"/>
      <c r="AG33" s="1507"/>
    </row>
    <row r="34" spans="1:33" s="1117" customFormat="1" ht="31.5">
      <c r="A34" s="1332"/>
      <c r="B34" s="1332"/>
      <c r="C34" s="1332"/>
      <c r="D34" s="1118"/>
      <c r="E34" s="1258" t="s">
        <v>1188</v>
      </c>
      <c r="F34" s="1317"/>
      <c r="G34" s="1345">
        <v>2854765</v>
      </c>
      <c r="H34" s="892">
        <v>337969</v>
      </c>
      <c r="I34" s="1356">
        <v>80.5</v>
      </c>
      <c r="J34" s="1523"/>
      <c r="K34" s="1518">
        <f t="shared" si="0"/>
        <v>3192734</v>
      </c>
      <c r="L34" s="1541"/>
      <c r="M34" s="1518"/>
      <c r="N34" s="1507"/>
      <c r="O34" s="1507"/>
      <c r="P34" s="1507"/>
      <c r="Q34" s="1507"/>
      <c r="R34" s="1507"/>
      <c r="S34" s="1507"/>
      <c r="T34" s="1507"/>
      <c r="U34" s="1507"/>
      <c r="V34" s="1507"/>
      <c r="W34" s="1507"/>
      <c r="X34" s="1507"/>
      <c r="Y34" s="1507"/>
      <c r="Z34" s="1507"/>
      <c r="AA34" s="1507"/>
      <c r="AB34" s="1507"/>
      <c r="AC34" s="1507"/>
      <c r="AD34" s="1507"/>
      <c r="AE34" s="1507"/>
      <c r="AF34" s="1507"/>
      <c r="AG34" s="1507"/>
    </row>
    <row r="35" spans="1:33" s="1117" customFormat="1" ht="31.5">
      <c r="A35" s="1332"/>
      <c r="B35" s="1332"/>
      <c r="C35" s="1332"/>
      <c r="D35" s="1118"/>
      <c r="E35" s="1258" t="s">
        <v>1189</v>
      </c>
      <c r="F35" s="1317"/>
      <c r="G35" s="1345">
        <v>1255573</v>
      </c>
      <c r="H35" s="892">
        <v>256847</v>
      </c>
      <c r="I35" s="1356">
        <v>97.4</v>
      </c>
      <c r="J35" s="1523"/>
      <c r="K35" s="1518">
        <f t="shared" si="0"/>
        <v>1512420</v>
      </c>
      <c r="L35" s="1541"/>
      <c r="M35" s="1518"/>
      <c r="N35" s="1507"/>
      <c r="O35" s="1507"/>
      <c r="P35" s="1507"/>
      <c r="Q35" s="1507"/>
      <c r="R35" s="1507"/>
      <c r="S35" s="1507"/>
      <c r="T35" s="1507"/>
      <c r="U35" s="1507"/>
      <c r="V35" s="1507"/>
      <c r="W35" s="1507"/>
      <c r="X35" s="1507"/>
      <c r="Y35" s="1507"/>
      <c r="Z35" s="1507"/>
      <c r="AA35" s="1507"/>
      <c r="AB35" s="1507"/>
      <c r="AC35" s="1507"/>
      <c r="AD35" s="1507"/>
      <c r="AE35" s="1507"/>
      <c r="AF35" s="1507"/>
      <c r="AG35" s="1507"/>
    </row>
    <row r="36" spans="1:33" s="1117" customFormat="1" ht="31.5">
      <c r="A36" s="1332"/>
      <c r="B36" s="1332"/>
      <c r="C36" s="1332"/>
      <c r="D36" s="1118"/>
      <c r="E36" s="1258" t="s">
        <v>1916</v>
      </c>
      <c r="F36" s="1317"/>
      <c r="G36" s="1345"/>
      <c r="H36" s="892">
        <v>81873</v>
      </c>
      <c r="I36" s="1346"/>
      <c r="J36" s="1523"/>
      <c r="K36" s="1518">
        <f t="shared" si="0"/>
        <v>81873</v>
      </c>
      <c r="L36" s="1541"/>
      <c r="M36" s="1518"/>
      <c r="N36" s="1507"/>
      <c r="O36" s="1507"/>
      <c r="P36" s="1507"/>
      <c r="Q36" s="1507"/>
      <c r="R36" s="1507"/>
      <c r="S36" s="1507"/>
      <c r="T36" s="1507"/>
      <c r="U36" s="1507"/>
      <c r="V36" s="1507"/>
      <c r="W36" s="1507"/>
      <c r="X36" s="1507"/>
      <c r="Y36" s="1507"/>
      <c r="Z36" s="1507"/>
      <c r="AA36" s="1507"/>
      <c r="AB36" s="1507"/>
      <c r="AC36" s="1507"/>
      <c r="AD36" s="1507"/>
      <c r="AE36" s="1507"/>
      <c r="AF36" s="1507"/>
      <c r="AG36" s="1507"/>
    </row>
    <row r="37" spans="1:33" s="1117" customFormat="1" ht="31.5">
      <c r="A37" s="1332"/>
      <c r="B37" s="1332"/>
      <c r="C37" s="1332"/>
      <c r="D37" s="1118"/>
      <c r="E37" s="1259" t="s">
        <v>1226</v>
      </c>
      <c r="F37" s="1347"/>
      <c r="G37" s="1361">
        <v>247692</v>
      </c>
      <c r="H37" s="1362">
        <v>2832</v>
      </c>
      <c r="I37" s="1346"/>
      <c r="J37" s="1523"/>
      <c r="K37" s="1518">
        <f t="shared" si="0"/>
        <v>250524</v>
      </c>
      <c r="L37" s="1541"/>
      <c r="M37" s="1518"/>
      <c r="N37" s="1507"/>
      <c r="O37" s="1507"/>
      <c r="P37" s="1507"/>
      <c r="Q37" s="1507"/>
      <c r="R37" s="1507"/>
      <c r="S37" s="1507"/>
      <c r="T37" s="1507"/>
      <c r="U37" s="1507"/>
      <c r="V37" s="1507"/>
      <c r="W37" s="1507"/>
      <c r="X37" s="1507"/>
      <c r="Y37" s="1507"/>
      <c r="Z37" s="1507"/>
      <c r="AA37" s="1507"/>
      <c r="AB37" s="1507"/>
      <c r="AC37" s="1507"/>
      <c r="AD37" s="1507"/>
      <c r="AE37" s="1507"/>
      <c r="AF37" s="1507"/>
      <c r="AG37" s="1507"/>
    </row>
    <row r="38" spans="1:33" s="1117" customFormat="1" ht="31.5">
      <c r="A38" s="1332"/>
      <c r="B38" s="1332"/>
      <c r="C38" s="1332"/>
      <c r="D38" s="1118"/>
      <c r="E38" s="1319" t="s">
        <v>1227</v>
      </c>
      <c r="F38" s="1347"/>
      <c r="G38" s="1361">
        <v>271592</v>
      </c>
      <c r="H38" s="1362">
        <v>3047</v>
      </c>
      <c r="I38" s="1346"/>
      <c r="J38" s="1523"/>
      <c r="K38" s="1518">
        <f t="shared" si="0"/>
        <v>274639</v>
      </c>
      <c r="L38" s="1541"/>
      <c r="M38" s="1518"/>
      <c r="N38" s="1507"/>
      <c r="O38" s="1507"/>
      <c r="P38" s="1507"/>
      <c r="Q38" s="1507"/>
      <c r="R38" s="1507"/>
      <c r="S38" s="1507"/>
      <c r="T38" s="1507"/>
      <c r="U38" s="1507"/>
      <c r="V38" s="1507"/>
      <c r="W38" s="1507"/>
      <c r="X38" s="1507"/>
      <c r="Y38" s="1507"/>
      <c r="Z38" s="1507"/>
      <c r="AA38" s="1507"/>
      <c r="AB38" s="1507"/>
      <c r="AC38" s="1507"/>
      <c r="AD38" s="1507"/>
      <c r="AE38" s="1507"/>
      <c r="AF38" s="1507"/>
      <c r="AG38" s="1507"/>
    </row>
    <row r="39" spans="1:33" s="1117" customFormat="1" ht="31.5">
      <c r="A39" s="1332"/>
      <c r="B39" s="1332"/>
      <c r="C39" s="1332"/>
      <c r="D39" s="1118"/>
      <c r="E39" s="1319" t="s">
        <v>1228</v>
      </c>
      <c r="F39" s="1347"/>
      <c r="G39" s="1361">
        <v>346840</v>
      </c>
      <c r="H39" s="1362">
        <v>3532</v>
      </c>
      <c r="I39" s="1346"/>
      <c r="J39" s="1523"/>
      <c r="K39" s="1518">
        <f t="shared" si="0"/>
        <v>350372</v>
      </c>
      <c r="L39" s="1541"/>
      <c r="M39" s="1518"/>
      <c r="N39" s="1507"/>
      <c r="O39" s="1507"/>
      <c r="P39" s="1507"/>
      <c r="Q39" s="1507"/>
      <c r="R39" s="1507"/>
      <c r="S39" s="1507"/>
      <c r="T39" s="1507"/>
      <c r="U39" s="1507"/>
      <c r="V39" s="1507"/>
      <c r="W39" s="1507"/>
      <c r="X39" s="1507"/>
      <c r="Y39" s="1507"/>
      <c r="Z39" s="1507"/>
      <c r="AA39" s="1507"/>
      <c r="AB39" s="1507"/>
      <c r="AC39" s="1507"/>
      <c r="AD39" s="1507"/>
      <c r="AE39" s="1507"/>
      <c r="AF39" s="1507"/>
      <c r="AG39" s="1507"/>
    </row>
    <row r="40" spans="1:33" s="1117" customFormat="1" ht="31.5">
      <c r="A40" s="1332"/>
      <c r="B40" s="1332"/>
      <c r="C40" s="1332"/>
      <c r="D40" s="1118"/>
      <c r="E40" s="1319" t="s">
        <v>1229</v>
      </c>
      <c r="F40" s="1347"/>
      <c r="G40" s="1363">
        <v>861857</v>
      </c>
      <c r="H40" s="1362">
        <v>251001</v>
      </c>
      <c r="I40" s="1346"/>
      <c r="J40" s="1523"/>
      <c r="K40" s="1518">
        <f t="shared" si="0"/>
        <v>1112858</v>
      </c>
      <c r="L40" s="1541"/>
      <c r="M40" s="1518"/>
      <c r="N40" s="1507"/>
      <c r="O40" s="1507"/>
      <c r="P40" s="1507"/>
      <c r="Q40" s="1507"/>
      <c r="R40" s="1507"/>
      <c r="S40" s="1507"/>
      <c r="T40" s="1507"/>
      <c r="U40" s="1507"/>
      <c r="V40" s="1507"/>
      <c r="W40" s="1507"/>
      <c r="X40" s="1507"/>
      <c r="Y40" s="1507"/>
      <c r="Z40" s="1507"/>
      <c r="AA40" s="1507"/>
      <c r="AB40" s="1507"/>
      <c r="AC40" s="1507"/>
      <c r="AD40" s="1507"/>
      <c r="AE40" s="1507"/>
      <c r="AF40" s="1507"/>
      <c r="AG40" s="1507"/>
    </row>
    <row r="41" spans="1:33" s="1117" customFormat="1" ht="31.5">
      <c r="A41" s="1332"/>
      <c r="B41" s="1332"/>
      <c r="C41" s="1332"/>
      <c r="D41" s="1118"/>
      <c r="E41" s="1319" t="s">
        <v>1917</v>
      </c>
      <c r="F41" s="1347"/>
      <c r="G41" s="1361">
        <v>953884</v>
      </c>
      <c r="H41" s="1362">
        <v>9064</v>
      </c>
      <c r="I41" s="1346"/>
      <c r="J41" s="1523"/>
      <c r="K41" s="1518">
        <f t="shared" si="0"/>
        <v>962948</v>
      </c>
      <c r="L41" s="1541"/>
      <c r="M41" s="1518"/>
      <c r="N41" s="1507"/>
      <c r="O41" s="1507"/>
      <c r="P41" s="1507"/>
      <c r="Q41" s="1507"/>
      <c r="R41" s="1507"/>
      <c r="S41" s="1507"/>
      <c r="T41" s="1507"/>
      <c r="U41" s="1507"/>
      <c r="V41" s="1507"/>
      <c r="W41" s="1507"/>
      <c r="X41" s="1507"/>
      <c r="Y41" s="1507"/>
      <c r="Z41" s="1507"/>
      <c r="AA41" s="1507"/>
      <c r="AB41" s="1507"/>
      <c r="AC41" s="1507"/>
      <c r="AD41" s="1507"/>
      <c r="AE41" s="1507"/>
      <c r="AF41" s="1507"/>
      <c r="AG41" s="1507"/>
    </row>
    <row r="42" spans="1:33" s="1117" customFormat="1" ht="31.5">
      <c r="A42" s="1332"/>
      <c r="B42" s="1332"/>
      <c r="C42" s="1332"/>
      <c r="D42" s="1118"/>
      <c r="E42" s="1319" t="s">
        <v>1230</v>
      </c>
      <c r="F42" s="1347"/>
      <c r="G42" s="1361">
        <v>531234.91</v>
      </c>
      <c r="H42" s="1362">
        <v>35216</v>
      </c>
      <c r="I42" s="1346"/>
      <c r="J42" s="1523"/>
      <c r="K42" s="1518">
        <f t="shared" si="0"/>
        <v>566450.91</v>
      </c>
      <c r="L42" s="1541"/>
      <c r="M42" s="1518"/>
      <c r="N42" s="1507"/>
      <c r="O42" s="1507"/>
      <c r="P42" s="1507"/>
      <c r="Q42" s="1507"/>
      <c r="R42" s="1507"/>
      <c r="S42" s="1507"/>
      <c r="T42" s="1507"/>
      <c r="U42" s="1507"/>
      <c r="V42" s="1507"/>
      <c r="W42" s="1507"/>
      <c r="X42" s="1507"/>
      <c r="Y42" s="1507"/>
      <c r="Z42" s="1507"/>
      <c r="AA42" s="1507"/>
      <c r="AB42" s="1507"/>
      <c r="AC42" s="1507"/>
      <c r="AD42" s="1507"/>
      <c r="AE42" s="1507"/>
      <c r="AF42" s="1507"/>
      <c r="AG42" s="1507"/>
    </row>
    <row r="43" spans="1:33" s="1117" customFormat="1" ht="31.5">
      <c r="A43" s="1332"/>
      <c r="B43" s="1332"/>
      <c r="C43" s="1332"/>
      <c r="D43" s="1118"/>
      <c r="E43" s="1319" t="s">
        <v>1231</v>
      </c>
      <c r="F43" s="1347"/>
      <c r="G43" s="1361">
        <v>462706</v>
      </c>
      <c r="H43" s="1362">
        <v>24974</v>
      </c>
      <c r="I43" s="1346"/>
      <c r="J43" s="1523"/>
      <c r="K43" s="1518">
        <f t="shared" si="0"/>
        <v>487680</v>
      </c>
      <c r="L43" s="1541"/>
      <c r="M43" s="1518"/>
      <c r="N43" s="1507"/>
      <c r="O43" s="1507"/>
      <c r="P43" s="1507"/>
      <c r="Q43" s="1507"/>
      <c r="R43" s="1507"/>
      <c r="S43" s="1507"/>
      <c r="T43" s="1507"/>
      <c r="U43" s="1507"/>
      <c r="V43" s="1507"/>
      <c r="W43" s="1507"/>
      <c r="X43" s="1507"/>
      <c r="Y43" s="1507"/>
      <c r="Z43" s="1507"/>
      <c r="AA43" s="1507"/>
      <c r="AB43" s="1507"/>
      <c r="AC43" s="1507"/>
      <c r="AD43" s="1507"/>
      <c r="AE43" s="1507"/>
      <c r="AF43" s="1507"/>
      <c r="AG43" s="1507"/>
    </row>
    <row r="44" spans="1:33" s="1117" customFormat="1" ht="31.5">
      <c r="A44" s="1332"/>
      <c r="B44" s="1332"/>
      <c r="C44" s="1332"/>
      <c r="D44" s="1118"/>
      <c r="E44" s="1319" t="s">
        <v>1232</v>
      </c>
      <c r="F44" s="1347"/>
      <c r="G44" s="1363"/>
      <c r="H44" s="1362">
        <v>368460</v>
      </c>
      <c r="I44" s="1346"/>
      <c r="J44" s="1523"/>
      <c r="K44" s="1518">
        <f t="shared" si="0"/>
        <v>368460</v>
      </c>
      <c r="L44" s="1541"/>
      <c r="M44" s="1518"/>
      <c r="N44" s="1507"/>
      <c r="O44" s="1507"/>
      <c r="P44" s="1507"/>
      <c r="Q44" s="1507"/>
      <c r="R44" s="1507"/>
      <c r="S44" s="1507"/>
      <c r="T44" s="1507"/>
      <c r="U44" s="1507"/>
      <c r="V44" s="1507"/>
      <c r="W44" s="1507"/>
      <c r="X44" s="1507"/>
      <c r="Y44" s="1507"/>
      <c r="Z44" s="1507"/>
      <c r="AA44" s="1507"/>
      <c r="AB44" s="1507"/>
      <c r="AC44" s="1507"/>
      <c r="AD44" s="1507"/>
      <c r="AE44" s="1507"/>
      <c r="AF44" s="1507"/>
      <c r="AG44" s="1507"/>
    </row>
    <row r="45" spans="1:33" s="1117" customFormat="1" ht="18.75">
      <c r="A45" s="1332"/>
      <c r="B45" s="1332"/>
      <c r="C45" s="1332"/>
      <c r="D45" s="1118"/>
      <c r="E45" s="1320" t="s">
        <v>1918</v>
      </c>
      <c r="F45" s="1347"/>
      <c r="G45" s="1363"/>
      <c r="H45" s="1362">
        <v>150000</v>
      </c>
      <c r="I45" s="1346"/>
      <c r="J45" s="1523"/>
      <c r="K45" s="1518">
        <f t="shared" si="0"/>
        <v>150000</v>
      </c>
      <c r="L45" s="1541"/>
      <c r="M45" s="1518"/>
      <c r="N45" s="1507"/>
      <c r="O45" s="1507"/>
      <c r="P45" s="1507"/>
      <c r="Q45" s="1507"/>
      <c r="R45" s="1507"/>
      <c r="S45" s="1507"/>
      <c r="T45" s="1507"/>
      <c r="U45" s="1507"/>
      <c r="V45" s="1507"/>
      <c r="W45" s="1507"/>
      <c r="X45" s="1507"/>
      <c r="Y45" s="1507"/>
      <c r="Z45" s="1507"/>
      <c r="AA45" s="1507"/>
      <c r="AB45" s="1507"/>
      <c r="AC45" s="1507"/>
      <c r="AD45" s="1507"/>
      <c r="AE45" s="1507"/>
      <c r="AF45" s="1507"/>
      <c r="AG45" s="1507"/>
    </row>
    <row r="46" spans="1:33" s="1117" customFormat="1" ht="31.5">
      <c r="A46" s="1332"/>
      <c r="B46" s="1332"/>
      <c r="C46" s="1332"/>
      <c r="D46" s="1118"/>
      <c r="E46" s="1320" t="s">
        <v>1919</v>
      </c>
      <c r="F46" s="1347"/>
      <c r="G46" s="1363"/>
      <c r="H46" s="1362">
        <v>60000</v>
      </c>
      <c r="I46" s="1346"/>
      <c r="J46" s="1523"/>
      <c r="K46" s="1518">
        <f t="shared" si="0"/>
        <v>60000</v>
      </c>
      <c r="L46" s="1541"/>
      <c r="M46" s="1518"/>
      <c r="N46" s="1507"/>
      <c r="O46" s="1507"/>
      <c r="P46" s="1507"/>
      <c r="Q46" s="1507"/>
      <c r="R46" s="1507"/>
      <c r="S46" s="1507"/>
      <c r="T46" s="1507"/>
      <c r="U46" s="1507"/>
      <c r="V46" s="1507"/>
      <c r="W46" s="1507"/>
      <c r="X46" s="1507"/>
      <c r="Y46" s="1507"/>
      <c r="Z46" s="1507"/>
      <c r="AA46" s="1507"/>
      <c r="AB46" s="1507"/>
      <c r="AC46" s="1507"/>
      <c r="AD46" s="1507"/>
      <c r="AE46" s="1507"/>
      <c r="AF46" s="1507"/>
      <c r="AG46" s="1507"/>
    </row>
    <row r="47" spans="1:33" s="1117" customFormat="1" ht="32.450000000000003" customHeight="1">
      <c r="A47" s="1332"/>
      <c r="B47" s="1332"/>
      <c r="C47" s="1332"/>
      <c r="D47" s="1118"/>
      <c r="E47" s="1321" t="s">
        <v>1920</v>
      </c>
      <c r="F47" s="1347"/>
      <c r="G47" s="1361">
        <v>201419.56</v>
      </c>
      <c r="H47" s="1362">
        <v>1379</v>
      </c>
      <c r="I47" s="1346"/>
      <c r="J47" s="1523"/>
      <c r="K47" s="1518">
        <f t="shared" si="0"/>
        <v>202798.56</v>
      </c>
      <c r="L47" s="1541"/>
      <c r="M47" s="1518"/>
      <c r="N47" s="1507"/>
      <c r="O47" s="1507"/>
      <c r="P47" s="1507"/>
      <c r="Q47" s="1507"/>
      <c r="R47" s="1507"/>
      <c r="S47" s="1507"/>
      <c r="T47" s="1507"/>
      <c r="U47" s="1507"/>
      <c r="V47" s="1507"/>
      <c r="W47" s="1507"/>
      <c r="X47" s="1507"/>
      <c r="Y47" s="1507"/>
      <c r="Z47" s="1507"/>
      <c r="AA47" s="1507"/>
      <c r="AB47" s="1507"/>
      <c r="AC47" s="1507"/>
      <c r="AD47" s="1507"/>
      <c r="AE47" s="1507"/>
      <c r="AF47" s="1507"/>
      <c r="AG47" s="1507"/>
    </row>
    <row r="48" spans="1:33" s="1117" customFormat="1" ht="31.5">
      <c r="A48" s="1332"/>
      <c r="B48" s="1332"/>
      <c r="C48" s="1332"/>
      <c r="D48" s="1118"/>
      <c r="E48" s="1322" t="s">
        <v>1921</v>
      </c>
      <c r="F48" s="1347"/>
      <c r="G48" s="1361">
        <v>282658.06</v>
      </c>
      <c r="H48" s="1362">
        <v>1941</v>
      </c>
      <c r="I48" s="1346"/>
      <c r="J48" s="1523"/>
      <c r="K48" s="1518">
        <f t="shared" si="0"/>
        <v>284599.06</v>
      </c>
      <c r="L48" s="1541"/>
      <c r="M48" s="1518"/>
      <c r="N48" s="1507"/>
      <c r="O48" s="1507"/>
      <c r="P48" s="1507"/>
      <c r="Q48" s="1507"/>
      <c r="R48" s="1507"/>
      <c r="S48" s="1507"/>
      <c r="T48" s="1507"/>
      <c r="U48" s="1507"/>
      <c r="V48" s="1507"/>
      <c r="W48" s="1507"/>
      <c r="X48" s="1507"/>
      <c r="Y48" s="1507"/>
      <c r="Z48" s="1507"/>
      <c r="AA48" s="1507"/>
      <c r="AB48" s="1507"/>
      <c r="AC48" s="1507"/>
      <c r="AD48" s="1507"/>
      <c r="AE48" s="1507"/>
      <c r="AF48" s="1507"/>
      <c r="AG48" s="1507"/>
    </row>
    <row r="49" spans="1:33" s="1117" customFormat="1" ht="31.5">
      <c r="A49" s="1332"/>
      <c r="B49" s="1332"/>
      <c r="C49" s="1332"/>
      <c r="D49" s="1118"/>
      <c r="E49" s="1404" t="s">
        <v>2080</v>
      </c>
      <c r="F49" s="1405"/>
      <c r="G49" s="1406">
        <v>217146</v>
      </c>
      <c r="H49" s="1401">
        <f>63543-90</f>
        <v>63453</v>
      </c>
      <c r="I49" s="1346"/>
      <c r="J49" s="1523"/>
      <c r="K49" s="1518"/>
      <c r="L49" s="1541"/>
      <c r="M49" s="1518"/>
      <c r="N49" s="1507"/>
      <c r="O49" s="1507"/>
      <c r="P49" s="1507"/>
      <c r="Q49" s="1507"/>
      <c r="R49" s="1507"/>
      <c r="S49" s="1507"/>
      <c r="T49" s="1507"/>
      <c r="U49" s="1507"/>
      <c r="V49" s="1507"/>
      <c r="W49" s="1507"/>
      <c r="X49" s="1507"/>
      <c r="Y49" s="1507"/>
      <c r="Z49" s="1507"/>
      <c r="AA49" s="1507"/>
      <c r="AB49" s="1507"/>
      <c r="AC49" s="1507"/>
      <c r="AD49" s="1507"/>
      <c r="AE49" s="1507"/>
      <c r="AF49" s="1507"/>
      <c r="AG49" s="1507"/>
    </row>
    <row r="50" spans="1:33" s="1117" customFormat="1" ht="18.75">
      <c r="A50" s="1332"/>
      <c r="B50" s="1332"/>
      <c r="C50" s="1332"/>
      <c r="D50" s="1118"/>
      <c r="E50" s="1398" t="s">
        <v>2081</v>
      </c>
      <c r="F50" s="1407"/>
      <c r="G50" s="1400">
        <v>294804</v>
      </c>
      <c r="H50" s="1401">
        <f>63453-2013</f>
        <v>61440</v>
      </c>
      <c r="I50" s="1346"/>
      <c r="J50" s="1523"/>
      <c r="K50" s="1518"/>
      <c r="L50" s="1541"/>
      <c r="M50" s="1518"/>
      <c r="N50" s="1507"/>
      <c r="O50" s="1507"/>
      <c r="P50" s="1507"/>
      <c r="Q50" s="1507"/>
      <c r="R50" s="1507"/>
      <c r="S50" s="1507"/>
      <c r="T50" s="1507"/>
      <c r="U50" s="1507"/>
      <c r="V50" s="1507"/>
      <c r="W50" s="1507"/>
      <c r="X50" s="1507"/>
      <c r="Y50" s="1507"/>
      <c r="Z50" s="1507"/>
      <c r="AA50" s="1507"/>
      <c r="AB50" s="1507"/>
      <c r="AC50" s="1507"/>
      <c r="AD50" s="1507"/>
      <c r="AE50" s="1507"/>
      <c r="AF50" s="1507"/>
      <c r="AG50" s="1507"/>
    </row>
    <row r="51" spans="1:33" s="1117" customFormat="1" ht="18.75">
      <c r="A51" s="1332"/>
      <c r="B51" s="1332"/>
      <c r="C51" s="1332"/>
      <c r="D51" s="1118"/>
      <c r="E51" s="1398" t="s">
        <v>2082</v>
      </c>
      <c r="F51" s="1407"/>
      <c r="G51" s="1400">
        <v>298462</v>
      </c>
      <c r="H51" s="1401">
        <f>61440+13098</f>
        <v>74538</v>
      </c>
      <c r="I51" s="1346"/>
      <c r="J51" s="1523"/>
      <c r="K51" s="1518"/>
      <c r="L51" s="1541"/>
      <c r="M51" s="1518"/>
      <c r="N51" s="1507"/>
      <c r="O51" s="1507"/>
      <c r="P51" s="1507"/>
      <c r="Q51" s="1507"/>
      <c r="R51" s="1507"/>
      <c r="S51" s="1507"/>
      <c r="T51" s="1507"/>
      <c r="U51" s="1507"/>
      <c r="V51" s="1507"/>
      <c r="W51" s="1507"/>
      <c r="X51" s="1507"/>
      <c r="Y51" s="1507"/>
      <c r="Z51" s="1507"/>
      <c r="AA51" s="1507"/>
      <c r="AB51" s="1507"/>
      <c r="AC51" s="1507"/>
      <c r="AD51" s="1507"/>
      <c r="AE51" s="1507"/>
      <c r="AF51" s="1507"/>
      <c r="AG51" s="1507"/>
    </row>
    <row r="52" spans="1:33" s="1117" customFormat="1" ht="31.5">
      <c r="A52" s="1015" t="s">
        <v>568</v>
      </c>
      <c r="B52" s="1015" t="s">
        <v>373</v>
      </c>
      <c r="C52" s="1015" t="s">
        <v>521</v>
      </c>
      <c r="D52" s="1333" t="s">
        <v>1922</v>
      </c>
      <c r="E52" s="1323" t="s">
        <v>1923</v>
      </c>
      <c r="F52" s="1347"/>
      <c r="G52" s="1361"/>
      <c r="H52" s="1362">
        <v>265083</v>
      </c>
      <c r="I52" s="1346"/>
      <c r="J52" s="1523"/>
      <c r="K52" s="1518">
        <f t="shared" si="0"/>
        <v>265083</v>
      </c>
      <c r="L52" s="1541"/>
      <c r="M52" s="1518"/>
      <c r="N52" s="1507"/>
      <c r="O52" s="1507"/>
      <c r="P52" s="1507"/>
      <c r="Q52" s="1507"/>
      <c r="R52" s="1507"/>
      <c r="S52" s="1507"/>
      <c r="T52" s="1507"/>
      <c r="U52" s="1507"/>
      <c r="V52" s="1507"/>
      <c r="W52" s="1507"/>
      <c r="X52" s="1507"/>
      <c r="Y52" s="1507"/>
      <c r="Z52" s="1507"/>
      <c r="AA52" s="1507"/>
      <c r="AB52" s="1507"/>
      <c r="AC52" s="1507"/>
      <c r="AD52" s="1507"/>
      <c r="AE52" s="1507"/>
      <c r="AF52" s="1507"/>
      <c r="AG52" s="1507"/>
    </row>
    <row r="53" spans="1:33" s="1117" customFormat="1" ht="51.75" customHeight="1">
      <c r="A53" s="1282" t="s">
        <v>813</v>
      </c>
      <c r="B53" s="1282" t="s">
        <v>814</v>
      </c>
      <c r="C53" s="1282" t="s">
        <v>278</v>
      </c>
      <c r="D53" s="1334" t="s">
        <v>815</v>
      </c>
      <c r="E53" s="1254" t="s">
        <v>1074</v>
      </c>
      <c r="F53" s="1364"/>
      <c r="G53" s="1356">
        <v>54586121</v>
      </c>
      <c r="H53" s="1365">
        <v>15645500</v>
      </c>
      <c r="I53" s="1356">
        <v>42</v>
      </c>
      <c r="J53" s="1523">
        <f>[1]дод3!Q188</f>
        <v>78218758</v>
      </c>
      <c r="K53" s="1518">
        <f t="shared" si="0"/>
        <v>70231621</v>
      </c>
      <c r="L53" s="1524">
        <v>15645500</v>
      </c>
      <c r="M53" s="1518">
        <f t="shared" ref="M53:M62" si="3">H53-L53</f>
        <v>0</v>
      </c>
      <c r="N53" s="1507"/>
      <c r="O53" s="1507"/>
      <c r="P53" s="1507"/>
      <c r="Q53" s="1507"/>
      <c r="R53" s="1507"/>
      <c r="S53" s="1507"/>
      <c r="T53" s="1507"/>
      <c r="U53" s="1507"/>
      <c r="V53" s="1507"/>
      <c r="W53" s="1507"/>
      <c r="X53" s="1507"/>
      <c r="Y53" s="1507"/>
      <c r="Z53" s="1507"/>
      <c r="AA53" s="1507"/>
      <c r="AB53" s="1507"/>
      <c r="AC53" s="1507"/>
      <c r="AD53" s="1507"/>
      <c r="AE53" s="1507"/>
      <c r="AF53" s="1507"/>
      <c r="AG53" s="1507"/>
    </row>
    <row r="54" spans="1:33" s="1117" customFormat="1" ht="41.25" customHeight="1">
      <c r="A54" s="1283"/>
      <c r="B54" s="1283"/>
      <c r="C54" s="1283"/>
      <c r="D54" s="1335"/>
      <c r="E54" s="1254" t="s">
        <v>1924</v>
      </c>
      <c r="F54" s="432"/>
      <c r="G54" s="1357">
        <v>23736758</v>
      </c>
      <c r="H54" s="1365">
        <v>8000000</v>
      </c>
      <c r="I54" s="1355"/>
      <c r="J54" s="1523"/>
      <c r="K54" s="1518">
        <f t="shared" si="0"/>
        <v>31736758</v>
      </c>
      <c r="L54" s="1524">
        <v>8000000</v>
      </c>
      <c r="M54" s="1518">
        <f t="shared" si="3"/>
        <v>0</v>
      </c>
      <c r="N54" s="1507"/>
      <c r="O54" s="1507"/>
      <c r="P54" s="1507"/>
      <c r="Q54" s="1507"/>
      <c r="R54" s="1507"/>
      <c r="S54" s="1507"/>
      <c r="T54" s="1507"/>
      <c r="U54" s="1507"/>
      <c r="V54" s="1507"/>
      <c r="W54" s="1507"/>
      <c r="X54" s="1507"/>
      <c r="Y54" s="1507"/>
      <c r="Z54" s="1507"/>
      <c r="AA54" s="1507"/>
      <c r="AB54" s="1507"/>
      <c r="AC54" s="1507"/>
      <c r="AD54" s="1507"/>
      <c r="AE54" s="1507"/>
      <c r="AF54" s="1507"/>
      <c r="AG54" s="1507"/>
    </row>
    <row r="55" spans="1:33" s="1117" customFormat="1" ht="31.5" hidden="1">
      <c r="A55" s="1120"/>
      <c r="B55" s="1120"/>
      <c r="C55" s="1120"/>
      <c r="D55" s="1119"/>
      <c r="E55" s="1254" t="s">
        <v>1078</v>
      </c>
      <c r="F55" s="1261"/>
      <c r="G55" s="737"/>
      <c r="H55" s="1260">
        <v>0</v>
      </c>
      <c r="I55" s="737"/>
      <c r="J55" s="1116"/>
      <c r="K55" s="72">
        <f t="shared" si="0"/>
        <v>0</v>
      </c>
      <c r="L55" s="1137">
        <v>12000000</v>
      </c>
      <c r="M55" s="1149">
        <f t="shared" si="3"/>
        <v>-12000000</v>
      </c>
    </row>
    <row r="56" spans="1:33" s="1117" customFormat="1" ht="47.25" hidden="1">
      <c r="A56" s="1120"/>
      <c r="B56" s="1120"/>
      <c r="C56" s="1120"/>
      <c r="D56" s="1119"/>
      <c r="E56" s="1254" t="s">
        <v>1075</v>
      </c>
      <c r="F56" s="1261"/>
      <c r="G56" s="737"/>
      <c r="H56" s="1260">
        <v>0</v>
      </c>
      <c r="I56" s="737"/>
      <c r="J56" s="1116"/>
      <c r="K56" s="72">
        <f t="shared" si="0"/>
        <v>0</v>
      </c>
      <c r="L56" s="1136">
        <v>7500000</v>
      </c>
      <c r="M56" s="1149">
        <f t="shared" si="3"/>
        <v>-7500000</v>
      </c>
    </row>
    <row r="57" spans="1:33" s="1117" customFormat="1" ht="18.75" hidden="1">
      <c r="A57" s="1283"/>
      <c r="B57" s="1283"/>
      <c r="C57" s="1283"/>
      <c r="D57" s="1336"/>
      <c r="E57" s="1416"/>
      <c r="F57" s="1417"/>
      <c r="G57" s="1418"/>
      <c r="H57" s="1419"/>
      <c r="I57" s="1355"/>
      <c r="J57" s="1116"/>
      <c r="K57" s="72">
        <f t="shared" si="0"/>
        <v>0</v>
      </c>
      <c r="L57" s="1534">
        <v>2500000</v>
      </c>
      <c r="M57" s="1149">
        <f t="shared" si="3"/>
        <v>-2500000</v>
      </c>
    </row>
    <row r="58" spans="1:33" s="1117" customFormat="1" ht="47.25">
      <c r="A58" s="1283"/>
      <c r="B58" s="1283"/>
      <c r="C58" s="1283"/>
      <c r="D58" s="1336"/>
      <c r="E58" s="1254" t="s">
        <v>1925</v>
      </c>
      <c r="F58" s="432"/>
      <c r="G58" s="1355"/>
      <c r="H58" s="1365">
        <v>50000</v>
      </c>
      <c r="I58" s="1355"/>
      <c r="J58" s="1523"/>
      <c r="K58" s="1518">
        <f t="shared" si="0"/>
        <v>50000</v>
      </c>
      <c r="L58" s="1524">
        <v>15300000</v>
      </c>
      <c r="M58" s="1518">
        <f t="shared" si="3"/>
        <v>-15250000</v>
      </c>
      <c r="N58" s="1507"/>
      <c r="O58" s="1507"/>
      <c r="P58" s="1507"/>
      <c r="Q58" s="1507"/>
      <c r="R58" s="1507"/>
      <c r="S58" s="1507"/>
      <c r="T58" s="1507"/>
      <c r="U58" s="1507"/>
      <c r="V58" s="1507"/>
      <c r="W58" s="1507"/>
      <c r="X58" s="1507"/>
      <c r="Y58" s="1507"/>
      <c r="Z58" s="1507"/>
      <c r="AA58" s="1507"/>
      <c r="AB58" s="1507"/>
      <c r="AC58" s="1507"/>
      <c r="AD58" s="1507"/>
      <c r="AE58" s="1507"/>
      <c r="AF58" s="1507"/>
      <c r="AG58" s="1507"/>
    </row>
    <row r="59" spans="1:33" s="1117" customFormat="1" ht="31.5">
      <c r="A59" s="1283"/>
      <c r="B59" s="1283"/>
      <c r="C59" s="1283"/>
      <c r="D59" s="1335"/>
      <c r="E59" s="1254" t="s">
        <v>1926</v>
      </c>
      <c r="F59" s="432"/>
      <c r="G59" s="1357">
        <v>14509478</v>
      </c>
      <c r="H59" s="1365">
        <v>3600000</v>
      </c>
      <c r="I59" s="1355"/>
      <c r="J59" s="1523"/>
      <c r="K59" s="1518">
        <f t="shared" si="0"/>
        <v>18109478</v>
      </c>
      <c r="L59" s="1524">
        <v>15000000</v>
      </c>
      <c r="M59" s="1518">
        <f t="shared" si="3"/>
        <v>-11400000</v>
      </c>
      <c r="N59" s="1507"/>
      <c r="O59" s="1507"/>
      <c r="P59" s="1507"/>
      <c r="Q59" s="1507"/>
      <c r="R59" s="1507"/>
      <c r="S59" s="1507"/>
      <c r="T59" s="1507"/>
      <c r="U59" s="1507"/>
      <c r="V59" s="1507"/>
      <c r="W59" s="1507"/>
      <c r="X59" s="1507"/>
      <c r="Y59" s="1507"/>
      <c r="Z59" s="1507"/>
      <c r="AA59" s="1507"/>
      <c r="AB59" s="1507"/>
      <c r="AC59" s="1507"/>
      <c r="AD59" s="1507"/>
      <c r="AE59" s="1507"/>
      <c r="AF59" s="1507"/>
      <c r="AG59" s="1507"/>
    </row>
    <row r="60" spans="1:33" s="1117" customFormat="1" ht="47.25">
      <c r="A60" s="1283"/>
      <c r="B60" s="1283"/>
      <c r="C60" s="1283"/>
      <c r="D60" s="1335"/>
      <c r="E60" s="1262" t="s">
        <v>1927</v>
      </c>
      <c r="F60" s="432"/>
      <c r="G60" s="1357">
        <v>40362353</v>
      </c>
      <c r="H60" s="1365">
        <v>1844767</v>
      </c>
      <c r="I60" s="1355"/>
      <c r="J60" s="1523"/>
      <c r="K60" s="1518">
        <f t="shared" si="0"/>
        <v>42207120</v>
      </c>
      <c r="L60" s="1524">
        <v>19840400</v>
      </c>
      <c r="M60" s="1518">
        <f t="shared" si="3"/>
        <v>-17995633</v>
      </c>
      <c r="N60" s="1507"/>
      <c r="O60" s="1507"/>
      <c r="P60" s="1507"/>
      <c r="Q60" s="1507"/>
      <c r="R60" s="1507"/>
      <c r="S60" s="1507"/>
      <c r="T60" s="1507"/>
      <c r="U60" s="1507"/>
      <c r="V60" s="1507"/>
      <c r="W60" s="1507"/>
      <c r="X60" s="1507"/>
      <c r="Y60" s="1507"/>
      <c r="Z60" s="1507"/>
      <c r="AA60" s="1507"/>
      <c r="AB60" s="1507"/>
      <c r="AC60" s="1507"/>
      <c r="AD60" s="1507"/>
      <c r="AE60" s="1507"/>
      <c r="AF60" s="1507"/>
      <c r="AG60" s="1507"/>
    </row>
    <row r="61" spans="1:33" s="1117" customFormat="1" ht="31.5">
      <c r="A61" s="1283"/>
      <c r="B61" s="1283"/>
      <c r="C61" s="1283"/>
      <c r="D61" s="1335"/>
      <c r="E61" s="1254" t="s">
        <v>1928</v>
      </c>
      <c r="F61" s="432"/>
      <c r="G61" s="1356">
        <v>83417714</v>
      </c>
      <c r="H61" s="1365">
        <v>15000000</v>
      </c>
      <c r="I61" s="1263">
        <v>19</v>
      </c>
      <c r="J61" s="1523"/>
      <c r="K61" s="1518">
        <f t="shared" si="0"/>
        <v>98417714</v>
      </c>
      <c r="L61" s="1524">
        <v>4200000</v>
      </c>
      <c r="M61" s="1518">
        <f>H61-L61</f>
        <v>10800000</v>
      </c>
      <c r="N61" s="1507"/>
      <c r="O61" s="1507"/>
      <c r="P61" s="1507"/>
      <c r="Q61" s="1507"/>
      <c r="R61" s="1507"/>
      <c r="S61" s="1507"/>
      <c r="T61" s="1507"/>
      <c r="U61" s="1507"/>
      <c r="V61" s="1507"/>
      <c r="W61" s="1507"/>
      <c r="X61" s="1507"/>
      <c r="Y61" s="1507"/>
      <c r="Z61" s="1507"/>
      <c r="AA61" s="1507"/>
      <c r="AB61" s="1507"/>
      <c r="AC61" s="1507"/>
      <c r="AD61" s="1507"/>
      <c r="AE61" s="1507"/>
      <c r="AF61" s="1507"/>
      <c r="AG61" s="1507"/>
    </row>
    <row r="62" spans="1:33" s="1117" customFormat="1" ht="31.5">
      <c r="A62" s="1283"/>
      <c r="B62" s="1283"/>
      <c r="C62" s="1283"/>
      <c r="D62" s="1335"/>
      <c r="E62" s="1254" t="s">
        <v>1929</v>
      </c>
      <c r="F62" s="432"/>
      <c r="G62" s="1357">
        <v>10578120</v>
      </c>
      <c r="H62" s="1365">
        <v>218896</v>
      </c>
      <c r="I62" s="1263"/>
      <c r="J62" s="1523"/>
      <c r="K62" s="1518">
        <f t="shared" si="0"/>
        <v>10797016</v>
      </c>
      <c r="L62" s="1524">
        <v>1000000</v>
      </c>
      <c r="M62" s="1518">
        <f t="shared" si="3"/>
        <v>-781104</v>
      </c>
      <c r="N62" s="1507"/>
      <c r="O62" s="1507"/>
      <c r="P62" s="1507"/>
      <c r="Q62" s="1507"/>
      <c r="R62" s="1507"/>
      <c r="S62" s="1507"/>
      <c r="T62" s="1507"/>
      <c r="U62" s="1507"/>
      <c r="V62" s="1507"/>
      <c r="W62" s="1507"/>
      <c r="X62" s="1507"/>
      <c r="Y62" s="1507"/>
      <c r="Z62" s="1507"/>
      <c r="AA62" s="1507"/>
      <c r="AB62" s="1507"/>
      <c r="AC62" s="1507"/>
      <c r="AD62" s="1507"/>
      <c r="AE62" s="1507"/>
      <c r="AF62" s="1507"/>
      <c r="AG62" s="1507"/>
    </row>
    <row r="63" spans="1:33" s="1117" customFormat="1" ht="31.5">
      <c r="A63" s="1283"/>
      <c r="B63" s="1283"/>
      <c r="C63" s="1283"/>
      <c r="D63" s="1335"/>
      <c r="E63" s="1254" t="s">
        <v>1076</v>
      </c>
      <c r="F63" s="432"/>
      <c r="G63" s="1356">
        <v>152147937</v>
      </c>
      <c r="H63" s="1365">
        <v>19840400</v>
      </c>
      <c r="I63" s="1263">
        <v>96.2</v>
      </c>
      <c r="J63" s="1523"/>
      <c r="K63" s="1518">
        <f t="shared" si="0"/>
        <v>171988337</v>
      </c>
      <c r="L63" s="1524"/>
      <c r="M63" s="1518"/>
      <c r="N63" s="1507"/>
      <c r="O63" s="1507"/>
      <c r="P63" s="1507"/>
      <c r="Q63" s="1507"/>
      <c r="R63" s="1507"/>
      <c r="S63" s="1507"/>
      <c r="T63" s="1507"/>
      <c r="U63" s="1507"/>
      <c r="V63" s="1507"/>
      <c r="W63" s="1507"/>
      <c r="X63" s="1507"/>
      <c r="Y63" s="1507"/>
      <c r="Z63" s="1507"/>
      <c r="AA63" s="1507"/>
      <c r="AB63" s="1507"/>
      <c r="AC63" s="1507"/>
      <c r="AD63" s="1507"/>
      <c r="AE63" s="1507"/>
      <c r="AF63" s="1507"/>
      <c r="AG63" s="1507"/>
    </row>
    <row r="64" spans="1:33" s="1117" customFormat="1" ht="18.75">
      <c r="A64" s="1283"/>
      <c r="B64" s="1283"/>
      <c r="C64" s="1283"/>
      <c r="D64" s="1335"/>
      <c r="E64" s="1254" t="s">
        <v>1930</v>
      </c>
      <c r="F64" s="432"/>
      <c r="G64" s="1356">
        <v>24705682.690000001</v>
      </c>
      <c r="H64" s="1365">
        <v>250000</v>
      </c>
      <c r="I64" s="1264"/>
      <c r="J64" s="1523"/>
      <c r="K64" s="1518">
        <f t="shared" si="0"/>
        <v>24955682.690000001</v>
      </c>
      <c r="L64" s="1524"/>
      <c r="M64" s="1518"/>
      <c r="N64" s="1507"/>
      <c r="O64" s="1507"/>
      <c r="P64" s="1507"/>
      <c r="Q64" s="1507"/>
      <c r="R64" s="1507"/>
      <c r="S64" s="1507"/>
      <c r="T64" s="1507"/>
      <c r="U64" s="1507"/>
      <c r="V64" s="1507"/>
      <c r="W64" s="1507"/>
      <c r="X64" s="1507"/>
      <c r="Y64" s="1507"/>
      <c r="Z64" s="1507"/>
      <c r="AA64" s="1507"/>
      <c r="AB64" s="1507"/>
      <c r="AC64" s="1507"/>
      <c r="AD64" s="1507"/>
      <c r="AE64" s="1507"/>
      <c r="AF64" s="1507"/>
      <c r="AG64" s="1507"/>
    </row>
    <row r="65" spans="1:33" s="1117" customFormat="1" ht="47.25" hidden="1">
      <c r="A65" s="1120"/>
      <c r="B65" s="1120"/>
      <c r="C65" s="1120"/>
      <c r="D65" s="1119"/>
      <c r="E65" s="1254" t="s">
        <v>1077</v>
      </c>
      <c r="F65" s="1261"/>
      <c r="G65" s="737"/>
      <c r="H65" s="1265">
        <v>0</v>
      </c>
      <c r="I65" s="737"/>
      <c r="J65" s="1116"/>
      <c r="K65" s="72">
        <f t="shared" si="0"/>
        <v>0</v>
      </c>
      <c r="L65" s="1535"/>
      <c r="M65" s="1149"/>
    </row>
    <row r="66" spans="1:33" s="1117" customFormat="1" ht="31.5">
      <c r="A66" s="1283"/>
      <c r="B66" s="1283"/>
      <c r="C66" s="1283"/>
      <c r="D66" s="1335"/>
      <c r="E66" s="1255" t="s">
        <v>1931</v>
      </c>
      <c r="F66" s="1348"/>
      <c r="G66" s="1366">
        <v>33582144</v>
      </c>
      <c r="H66" s="1251">
        <v>382000</v>
      </c>
      <c r="I66" s="1360">
        <v>26.2</v>
      </c>
      <c r="J66" s="1523"/>
      <c r="K66" s="1518">
        <f t="shared" si="0"/>
        <v>33964144</v>
      </c>
      <c r="L66" s="1524"/>
      <c r="M66" s="1518"/>
      <c r="N66" s="1507"/>
      <c r="O66" s="1507"/>
      <c r="P66" s="1507"/>
      <c r="Q66" s="1507"/>
      <c r="R66" s="1507"/>
      <c r="S66" s="1507"/>
      <c r="T66" s="1507"/>
      <c r="U66" s="1507"/>
      <c r="V66" s="1507"/>
      <c r="W66" s="1507"/>
      <c r="X66" s="1507"/>
      <c r="Y66" s="1507"/>
      <c r="Z66" s="1507"/>
      <c r="AA66" s="1507"/>
      <c r="AB66" s="1507"/>
      <c r="AC66" s="1507"/>
      <c r="AD66" s="1507"/>
      <c r="AE66" s="1507"/>
      <c r="AF66" s="1507"/>
      <c r="AG66" s="1507"/>
    </row>
    <row r="67" spans="1:33" s="1117" customFormat="1" ht="31.5">
      <c r="A67" s="1283"/>
      <c r="B67" s="1283"/>
      <c r="C67" s="1283"/>
      <c r="D67" s="1335"/>
      <c r="E67" s="1255" t="s">
        <v>1932</v>
      </c>
      <c r="F67" s="1348"/>
      <c r="G67" s="1367"/>
      <c r="H67" s="1251">
        <v>1000000</v>
      </c>
      <c r="I67" s="1367"/>
      <c r="J67" s="1523"/>
      <c r="K67" s="1518">
        <f t="shared" si="0"/>
        <v>1000000</v>
      </c>
      <c r="L67" s="1524"/>
      <c r="M67" s="1518"/>
      <c r="N67" s="1507"/>
      <c r="O67" s="1507"/>
      <c r="P67" s="1507"/>
      <c r="Q67" s="1507"/>
      <c r="R67" s="1507"/>
      <c r="S67" s="1507"/>
      <c r="T67" s="1507"/>
      <c r="U67" s="1507"/>
      <c r="V67" s="1507"/>
      <c r="W67" s="1507"/>
      <c r="X67" s="1507"/>
      <c r="Y67" s="1507"/>
      <c r="Z67" s="1507"/>
      <c r="AA67" s="1507"/>
      <c r="AB67" s="1507"/>
      <c r="AC67" s="1507"/>
      <c r="AD67" s="1507"/>
      <c r="AE67" s="1507"/>
      <c r="AF67" s="1507"/>
      <c r="AG67" s="1507"/>
    </row>
    <row r="68" spans="1:33" s="1117" customFormat="1" ht="31.5">
      <c r="A68" s="1283"/>
      <c r="B68" s="1283"/>
      <c r="C68" s="1283"/>
      <c r="D68" s="1335"/>
      <c r="E68" s="1324" t="s">
        <v>1233</v>
      </c>
      <c r="F68" s="1368"/>
      <c r="G68" s="1369">
        <v>34555325</v>
      </c>
      <c r="H68" s="1370">
        <v>609831</v>
      </c>
      <c r="I68" s="1367"/>
      <c r="J68" s="1523"/>
      <c r="K68" s="1518">
        <f t="shared" si="0"/>
        <v>35165156</v>
      </c>
      <c r="L68" s="1524"/>
      <c r="M68" s="1518"/>
      <c r="N68" s="1507"/>
      <c r="O68" s="1507"/>
      <c r="P68" s="1507"/>
      <c r="Q68" s="1507"/>
      <c r="R68" s="1507"/>
      <c r="S68" s="1507"/>
      <c r="T68" s="1507"/>
      <c r="U68" s="1507"/>
      <c r="V68" s="1507"/>
      <c r="W68" s="1507"/>
      <c r="X68" s="1507"/>
      <c r="Y68" s="1507"/>
      <c r="Z68" s="1507"/>
      <c r="AA68" s="1507"/>
      <c r="AB68" s="1507"/>
      <c r="AC68" s="1507"/>
      <c r="AD68" s="1507"/>
      <c r="AE68" s="1507"/>
      <c r="AF68" s="1507"/>
      <c r="AG68" s="1507"/>
    </row>
    <row r="69" spans="1:33" s="1117" customFormat="1" ht="31.5">
      <c r="A69" s="1283"/>
      <c r="B69" s="1283"/>
      <c r="C69" s="1283"/>
      <c r="D69" s="1335"/>
      <c r="E69" s="1324" t="s">
        <v>1933</v>
      </c>
      <c r="F69" s="1368"/>
      <c r="G69" s="1369">
        <v>20063851</v>
      </c>
      <c r="H69" s="1370">
        <v>2000000</v>
      </c>
      <c r="I69" s="1367"/>
      <c r="J69" s="1523"/>
      <c r="K69" s="1518">
        <f t="shared" si="0"/>
        <v>22063851</v>
      </c>
      <c r="L69" s="1524"/>
      <c r="M69" s="1518"/>
      <c r="N69" s="1507"/>
      <c r="O69" s="1507"/>
      <c r="P69" s="1507"/>
      <c r="Q69" s="1507"/>
      <c r="R69" s="1507"/>
      <c r="S69" s="1507"/>
      <c r="T69" s="1507"/>
      <c r="U69" s="1507"/>
      <c r="V69" s="1507"/>
      <c r="W69" s="1507"/>
      <c r="X69" s="1507"/>
      <c r="Y69" s="1507"/>
      <c r="Z69" s="1507"/>
      <c r="AA69" s="1507"/>
      <c r="AB69" s="1507"/>
      <c r="AC69" s="1507"/>
      <c r="AD69" s="1507"/>
      <c r="AE69" s="1507"/>
      <c r="AF69" s="1507"/>
      <c r="AG69" s="1507"/>
    </row>
    <row r="70" spans="1:33" s="1117" customFormat="1" ht="47.25">
      <c r="A70" s="1283"/>
      <c r="B70" s="1283"/>
      <c r="C70" s="1283"/>
      <c r="D70" s="1335"/>
      <c r="E70" s="1324" t="s">
        <v>1234</v>
      </c>
      <c r="F70" s="1368"/>
      <c r="G70" s="1369">
        <v>6069443</v>
      </c>
      <c r="H70" s="1370">
        <v>191952</v>
      </c>
      <c r="I70" s="1367"/>
      <c r="J70" s="1523"/>
      <c r="K70" s="1518">
        <f t="shared" si="0"/>
        <v>6261395</v>
      </c>
      <c r="L70" s="1524"/>
      <c r="M70" s="1518"/>
      <c r="N70" s="1507"/>
      <c r="O70" s="1507"/>
      <c r="P70" s="1507"/>
      <c r="Q70" s="1507"/>
      <c r="R70" s="1507"/>
      <c r="S70" s="1507"/>
      <c r="T70" s="1507"/>
      <c r="U70" s="1507"/>
      <c r="V70" s="1507"/>
      <c r="W70" s="1507"/>
      <c r="X70" s="1507"/>
      <c r="Y70" s="1507"/>
      <c r="Z70" s="1507"/>
      <c r="AA70" s="1507"/>
      <c r="AB70" s="1507"/>
      <c r="AC70" s="1507"/>
      <c r="AD70" s="1507"/>
      <c r="AE70" s="1507"/>
      <c r="AF70" s="1507"/>
      <c r="AG70" s="1507"/>
    </row>
    <row r="71" spans="1:33" s="1117" customFormat="1" ht="31.5">
      <c r="A71" s="1283"/>
      <c r="B71" s="1283"/>
      <c r="C71" s="1283"/>
      <c r="D71" s="1335"/>
      <c r="E71" s="1324" t="s">
        <v>1235</v>
      </c>
      <c r="F71" s="1368"/>
      <c r="G71" s="1369">
        <v>13168394</v>
      </c>
      <c r="H71" s="1370">
        <v>1383623</v>
      </c>
      <c r="I71" s="1367"/>
      <c r="J71" s="1523"/>
      <c r="K71" s="1518">
        <f t="shared" si="0"/>
        <v>14552017</v>
      </c>
      <c r="L71" s="1524"/>
      <c r="M71" s="1518"/>
      <c r="N71" s="1507"/>
      <c r="O71" s="1507"/>
      <c r="P71" s="1507"/>
      <c r="Q71" s="1507"/>
      <c r="R71" s="1507"/>
      <c r="S71" s="1507"/>
      <c r="T71" s="1507"/>
      <c r="U71" s="1507"/>
      <c r="V71" s="1507"/>
      <c r="W71" s="1507"/>
      <c r="X71" s="1507"/>
      <c r="Y71" s="1507"/>
      <c r="Z71" s="1507"/>
      <c r="AA71" s="1507"/>
      <c r="AB71" s="1507"/>
      <c r="AC71" s="1507"/>
      <c r="AD71" s="1507"/>
      <c r="AE71" s="1507"/>
      <c r="AF71" s="1507"/>
      <c r="AG71" s="1507"/>
    </row>
    <row r="72" spans="1:33" s="1117" customFormat="1" ht="31.5" hidden="1">
      <c r="A72" s="1283"/>
      <c r="B72" s="1283"/>
      <c r="C72" s="1283"/>
      <c r="D72" s="1335"/>
      <c r="E72" s="1325" t="s">
        <v>1236</v>
      </c>
      <c r="F72" s="1368"/>
      <c r="G72" s="1371"/>
      <c r="H72" s="1370"/>
      <c r="I72" s="1367"/>
      <c r="J72" s="1116"/>
      <c r="K72" s="72">
        <f t="shared" si="0"/>
        <v>0</v>
      </c>
      <c r="L72" s="1535"/>
      <c r="M72" s="1149"/>
    </row>
    <row r="73" spans="1:33" s="1117" customFormat="1" ht="31.5">
      <c r="A73" s="1283"/>
      <c r="B73" s="1283"/>
      <c r="C73" s="1283"/>
      <c r="D73" s="1335"/>
      <c r="E73" s="1324" t="s">
        <v>1934</v>
      </c>
      <c r="F73" s="1368"/>
      <c r="G73" s="1369">
        <v>15558910</v>
      </c>
      <c r="H73" s="1370">
        <v>1000000</v>
      </c>
      <c r="I73" s="1367"/>
      <c r="J73" s="1523"/>
      <c r="K73" s="1518">
        <f t="shared" si="0"/>
        <v>16558910</v>
      </c>
      <c r="L73" s="1524"/>
      <c r="M73" s="1518"/>
      <c r="N73" s="1507"/>
      <c r="O73" s="1507"/>
      <c r="P73" s="1507"/>
      <c r="Q73" s="1507"/>
      <c r="R73" s="1507"/>
      <c r="S73" s="1507"/>
      <c r="T73" s="1507"/>
      <c r="U73" s="1507"/>
      <c r="V73" s="1507"/>
      <c r="W73" s="1507"/>
      <c r="X73" s="1507"/>
      <c r="Y73" s="1507"/>
      <c r="Z73" s="1507"/>
      <c r="AA73" s="1507"/>
      <c r="AB73" s="1507"/>
      <c r="AC73" s="1507"/>
      <c r="AD73" s="1507"/>
      <c r="AE73" s="1507"/>
      <c r="AF73" s="1507"/>
      <c r="AG73" s="1507"/>
    </row>
    <row r="74" spans="1:33" s="1117" customFormat="1" ht="18.75">
      <c r="A74" s="1283"/>
      <c r="B74" s="1283"/>
      <c r="C74" s="1283"/>
      <c r="D74" s="1335"/>
      <c r="E74" s="1324" t="s">
        <v>1237</v>
      </c>
      <c r="F74" s="1368"/>
      <c r="G74" s="1369">
        <v>16361360</v>
      </c>
      <c r="H74" s="1370">
        <v>458291</v>
      </c>
      <c r="I74" s="1367"/>
      <c r="J74" s="1523"/>
      <c r="K74" s="1518">
        <f t="shared" si="0"/>
        <v>16819651</v>
      </c>
      <c r="L74" s="1524"/>
      <c r="M74" s="1518"/>
      <c r="N74" s="1507"/>
      <c r="O74" s="1507"/>
      <c r="P74" s="1507"/>
      <c r="Q74" s="1507"/>
      <c r="R74" s="1507"/>
      <c r="S74" s="1507"/>
      <c r="T74" s="1507"/>
      <c r="U74" s="1507"/>
      <c r="V74" s="1507"/>
      <c r="W74" s="1507"/>
      <c r="X74" s="1507"/>
      <c r="Y74" s="1507"/>
      <c r="Z74" s="1507"/>
      <c r="AA74" s="1507"/>
      <c r="AB74" s="1507"/>
      <c r="AC74" s="1507"/>
      <c r="AD74" s="1507"/>
      <c r="AE74" s="1507"/>
      <c r="AF74" s="1507"/>
      <c r="AG74" s="1507"/>
    </row>
    <row r="75" spans="1:33" s="1117" customFormat="1" ht="18.75">
      <c r="A75" s="1283"/>
      <c r="B75" s="1283"/>
      <c r="C75" s="1283"/>
      <c r="D75" s="1335"/>
      <c r="E75" s="1324" t="s">
        <v>1935</v>
      </c>
      <c r="F75" s="1368"/>
      <c r="G75" s="1371"/>
      <c r="H75" s="1370">
        <v>1000000</v>
      </c>
      <c r="I75" s="1367"/>
      <c r="J75" s="1523"/>
      <c r="K75" s="1518">
        <f t="shared" si="0"/>
        <v>1000000</v>
      </c>
      <c r="L75" s="1524"/>
      <c r="M75" s="1518"/>
      <c r="N75" s="1507"/>
      <c r="O75" s="1507"/>
      <c r="P75" s="1507"/>
      <c r="Q75" s="1507"/>
      <c r="R75" s="1507"/>
      <c r="S75" s="1507"/>
      <c r="T75" s="1507"/>
      <c r="U75" s="1507"/>
      <c r="V75" s="1507"/>
      <c r="W75" s="1507"/>
      <c r="X75" s="1507"/>
      <c r="Y75" s="1507"/>
      <c r="Z75" s="1507"/>
      <c r="AA75" s="1507"/>
      <c r="AB75" s="1507"/>
      <c r="AC75" s="1507"/>
      <c r="AD75" s="1507"/>
      <c r="AE75" s="1507"/>
      <c r="AF75" s="1507"/>
      <c r="AG75" s="1507"/>
    </row>
    <row r="76" spans="1:33" s="1117" customFormat="1" ht="31.5">
      <c r="A76" s="1283"/>
      <c r="B76" s="1283"/>
      <c r="C76" s="1283"/>
      <c r="D76" s="1335"/>
      <c r="E76" s="1324" t="s">
        <v>1936</v>
      </c>
      <c r="F76" s="1368"/>
      <c r="G76" s="1369">
        <v>15000571</v>
      </c>
      <c r="H76" s="1370">
        <v>1402052</v>
      </c>
      <c r="I76" s="1367"/>
      <c r="J76" s="1523"/>
      <c r="K76" s="1518">
        <f t="shared" si="0"/>
        <v>16402623</v>
      </c>
      <c r="L76" s="1524">
        <v>382000</v>
      </c>
      <c r="M76" s="1518">
        <f>H76-L76</f>
        <v>1020052</v>
      </c>
      <c r="N76" s="1507"/>
      <c r="O76" s="1507"/>
      <c r="P76" s="1507"/>
      <c r="Q76" s="1507"/>
      <c r="R76" s="1507"/>
      <c r="S76" s="1507"/>
      <c r="T76" s="1507"/>
      <c r="U76" s="1507"/>
      <c r="V76" s="1507"/>
      <c r="W76" s="1507"/>
      <c r="X76" s="1507"/>
      <c r="Y76" s="1507"/>
      <c r="Z76" s="1507"/>
      <c r="AA76" s="1507"/>
      <c r="AB76" s="1507"/>
      <c r="AC76" s="1507"/>
      <c r="AD76" s="1507"/>
      <c r="AE76" s="1507"/>
      <c r="AF76" s="1507"/>
      <c r="AG76" s="1507"/>
    </row>
    <row r="77" spans="1:33" s="1117" customFormat="1" ht="94.5">
      <c r="A77" s="1283"/>
      <c r="B77" s="1283"/>
      <c r="C77" s="1283"/>
      <c r="D77" s="1335"/>
      <c r="E77" s="1326" t="s">
        <v>1937</v>
      </c>
      <c r="F77" s="1368"/>
      <c r="G77" s="1369">
        <v>10052611</v>
      </c>
      <c r="H77" s="1370">
        <v>188595</v>
      </c>
      <c r="I77" s="1367"/>
      <c r="J77" s="1523"/>
      <c r="K77" s="1518">
        <f t="shared" si="0"/>
        <v>10241206</v>
      </c>
      <c r="L77" s="1524"/>
      <c r="M77" s="1518"/>
      <c r="N77" s="1507"/>
      <c r="O77" s="1507"/>
      <c r="P77" s="1507"/>
      <c r="Q77" s="1507"/>
      <c r="R77" s="1507"/>
      <c r="S77" s="1507"/>
      <c r="T77" s="1507"/>
      <c r="U77" s="1507"/>
      <c r="V77" s="1507"/>
      <c r="W77" s="1507"/>
      <c r="X77" s="1507"/>
      <c r="Y77" s="1507"/>
      <c r="Z77" s="1507"/>
      <c r="AA77" s="1507"/>
      <c r="AB77" s="1507"/>
      <c r="AC77" s="1507"/>
      <c r="AD77" s="1507"/>
      <c r="AE77" s="1507"/>
      <c r="AF77" s="1507"/>
      <c r="AG77" s="1507"/>
    </row>
    <row r="78" spans="1:33" s="1117" customFormat="1" ht="31.5">
      <c r="A78" s="1283"/>
      <c r="B78" s="1283"/>
      <c r="C78" s="1283"/>
      <c r="D78" s="1335"/>
      <c r="E78" s="1326" t="s">
        <v>1938</v>
      </c>
      <c r="F78" s="1368"/>
      <c r="G78" s="1369">
        <v>8610891</v>
      </c>
      <c r="H78" s="1370">
        <v>70000</v>
      </c>
      <c r="I78" s="1367"/>
      <c r="J78" s="1523"/>
      <c r="K78" s="1518">
        <f t="shared" ref="K78:K137" si="4">SUM(G78:H78)</f>
        <v>8680891</v>
      </c>
      <c r="L78" s="1524"/>
      <c r="M78" s="1518"/>
      <c r="N78" s="1507"/>
      <c r="O78" s="1507"/>
      <c r="P78" s="1507"/>
      <c r="Q78" s="1507"/>
      <c r="R78" s="1507"/>
      <c r="S78" s="1507"/>
      <c r="T78" s="1507"/>
      <c r="U78" s="1507"/>
      <c r="V78" s="1507"/>
      <c r="W78" s="1507"/>
      <c r="X78" s="1507"/>
      <c r="Y78" s="1507"/>
      <c r="Z78" s="1507"/>
      <c r="AA78" s="1507"/>
      <c r="AB78" s="1507"/>
      <c r="AC78" s="1507"/>
      <c r="AD78" s="1507"/>
      <c r="AE78" s="1507"/>
      <c r="AF78" s="1507"/>
      <c r="AG78" s="1507"/>
    </row>
    <row r="79" spans="1:33" s="1117" customFormat="1" ht="31.5">
      <c r="A79" s="1283"/>
      <c r="B79" s="1283"/>
      <c r="C79" s="1283"/>
      <c r="D79" s="1335"/>
      <c r="E79" s="1326" t="s">
        <v>1939</v>
      </c>
      <c r="F79" s="1368"/>
      <c r="G79" s="1369">
        <v>16108086</v>
      </c>
      <c r="H79" s="1370">
        <v>1247077</v>
      </c>
      <c r="I79" s="1367"/>
      <c r="J79" s="1523"/>
      <c r="K79" s="1518">
        <f t="shared" si="4"/>
        <v>17355163</v>
      </c>
      <c r="L79" s="1524"/>
      <c r="M79" s="1518"/>
      <c r="N79" s="1507"/>
      <c r="O79" s="1507"/>
      <c r="P79" s="1507"/>
      <c r="Q79" s="1507"/>
      <c r="R79" s="1507"/>
      <c r="S79" s="1507"/>
      <c r="T79" s="1507"/>
      <c r="U79" s="1507"/>
      <c r="V79" s="1507"/>
      <c r="W79" s="1507"/>
      <c r="X79" s="1507"/>
      <c r="Y79" s="1507"/>
      <c r="Z79" s="1507"/>
      <c r="AA79" s="1507"/>
      <c r="AB79" s="1507"/>
      <c r="AC79" s="1507"/>
      <c r="AD79" s="1507"/>
      <c r="AE79" s="1507"/>
      <c r="AF79" s="1507"/>
      <c r="AG79" s="1507"/>
    </row>
    <row r="80" spans="1:33" s="1117" customFormat="1" ht="52.5" customHeight="1">
      <c r="A80" s="1283"/>
      <c r="B80" s="1283"/>
      <c r="C80" s="1283"/>
      <c r="D80" s="1335"/>
      <c r="E80" s="1326" t="s">
        <v>1940</v>
      </c>
      <c r="F80" s="1368"/>
      <c r="G80" s="1369">
        <v>15847962</v>
      </c>
      <c r="H80" s="1370">
        <v>300000</v>
      </c>
      <c r="I80" s="1367"/>
      <c r="J80" s="1523"/>
      <c r="K80" s="1518">
        <f t="shared" si="4"/>
        <v>16147962</v>
      </c>
      <c r="L80" s="1524"/>
      <c r="M80" s="1518"/>
      <c r="N80" s="1507"/>
      <c r="O80" s="1507"/>
      <c r="P80" s="1507"/>
      <c r="Q80" s="1507"/>
      <c r="R80" s="1507"/>
      <c r="S80" s="1507"/>
      <c r="T80" s="1507"/>
      <c r="U80" s="1507"/>
      <c r="V80" s="1507"/>
      <c r="W80" s="1507"/>
      <c r="X80" s="1507"/>
      <c r="Y80" s="1507"/>
      <c r="Z80" s="1507"/>
      <c r="AA80" s="1507"/>
      <c r="AB80" s="1507"/>
      <c r="AC80" s="1507"/>
      <c r="AD80" s="1507"/>
      <c r="AE80" s="1507"/>
      <c r="AF80" s="1507"/>
      <c r="AG80" s="1507"/>
    </row>
    <row r="81" spans="1:33" s="1117" customFormat="1" ht="47.25">
      <c r="A81" s="1283"/>
      <c r="B81" s="1283"/>
      <c r="C81" s="1283"/>
      <c r="D81" s="1335"/>
      <c r="E81" s="1326" t="s">
        <v>1941</v>
      </c>
      <c r="F81" s="1368"/>
      <c r="G81" s="1369">
        <v>34639234</v>
      </c>
      <c r="H81" s="1370">
        <v>300000</v>
      </c>
      <c r="I81" s="1367"/>
      <c r="J81" s="1523"/>
      <c r="K81" s="1518">
        <f t="shared" si="4"/>
        <v>34939234</v>
      </c>
      <c r="L81" s="1524"/>
      <c r="M81" s="1518"/>
      <c r="N81" s="1507"/>
      <c r="O81" s="1507"/>
      <c r="P81" s="1507"/>
      <c r="Q81" s="1507"/>
      <c r="R81" s="1507"/>
      <c r="S81" s="1507"/>
      <c r="T81" s="1507"/>
      <c r="U81" s="1507"/>
      <c r="V81" s="1507"/>
      <c r="W81" s="1507"/>
      <c r="X81" s="1507"/>
      <c r="Y81" s="1507"/>
      <c r="Z81" s="1507"/>
      <c r="AA81" s="1507"/>
      <c r="AB81" s="1507"/>
      <c r="AC81" s="1507"/>
      <c r="AD81" s="1507"/>
      <c r="AE81" s="1507"/>
      <c r="AF81" s="1507"/>
      <c r="AG81" s="1507"/>
    </row>
    <row r="82" spans="1:33" s="1117" customFormat="1" ht="47.25">
      <c r="A82" s="1283"/>
      <c r="B82" s="1283"/>
      <c r="C82" s="1283"/>
      <c r="D82" s="1335"/>
      <c r="E82" s="1326" t="s">
        <v>1942</v>
      </c>
      <c r="F82" s="1368"/>
      <c r="G82" s="1369">
        <v>10610258</v>
      </c>
      <c r="H82" s="1370">
        <v>442474</v>
      </c>
      <c r="I82" s="1367"/>
      <c r="J82" s="1523"/>
      <c r="K82" s="1518">
        <f t="shared" si="4"/>
        <v>11052732</v>
      </c>
      <c r="L82" s="1524"/>
      <c r="M82" s="1518"/>
      <c r="N82" s="1507"/>
      <c r="O82" s="1507"/>
      <c r="P82" s="1507"/>
      <c r="Q82" s="1507"/>
      <c r="R82" s="1507"/>
      <c r="S82" s="1507"/>
      <c r="T82" s="1507"/>
      <c r="U82" s="1507"/>
      <c r="V82" s="1507"/>
      <c r="W82" s="1507"/>
      <c r="X82" s="1507"/>
      <c r="Y82" s="1507"/>
      <c r="Z82" s="1507"/>
      <c r="AA82" s="1507"/>
      <c r="AB82" s="1507"/>
      <c r="AC82" s="1507"/>
      <c r="AD82" s="1507"/>
      <c r="AE82" s="1507"/>
      <c r="AF82" s="1507"/>
      <c r="AG82" s="1507"/>
    </row>
    <row r="83" spans="1:33" s="1117" customFormat="1" ht="31.5">
      <c r="A83" s="1283"/>
      <c r="B83" s="1283"/>
      <c r="C83" s="1283"/>
      <c r="D83" s="1335"/>
      <c r="E83" s="1327" t="s">
        <v>1943</v>
      </c>
      <c r="F83" s="1368"/>
      <c r="G83" s="1369">
        <v>9999695</v>
      </c>
      <c r="H83" s="1370">
        <v>999000</v>
      </c>
      <c r="I83" s="1367"/>
      <c r="J83" s="1523"/>
      <c r="K83" s="1518">
        <f t="shared" si="4"/>
        <v>10998695</v>
      </c>
      <c r="L83" s="1524"/>
      <c r="M83" s="1518"/>
      <c r="N83" s="1507"/>
      <c r="O83" s="1507"/>
      <c r="P83" s="1507"/>
      <c r="Q83" s="1507"/>
      <c r="R83" s="1507"/>
      <c r="S83" s="1507"/>
      <c r="T83" s="1507"/>
      <c r="U83" s="1507"/>
      <c r="V83" s="1507"/>
      <c r="W83" s="1507"/>
      <c r="X83" s="1507"/>
      <c r="Y83" s="1507"/>
      <c r="Z83" s="1507"/>
      <c r="AA83" s="1507"/>
      <c r="AB83" s="1507"/>
      <c r="AC83" s="1507"/>
      <c r="AD83" s="1507"/>
      <c r="AE83" s="1507"/>
      <c r="AF83" s="1507"/>
      <c r="AG83" s="1507"/>
    </row>
    <row r="84" spans="1:33" s="1117" customFormat="1" ht="31.5">
      <c r="A84" s="1393"/>
      <c r="B84" s="1393"/>
      <c r="C84" s="1393"/>
      <c r="D84" s="1335"/>
      <c r="E84" s="1398" t="s">
        <v>2083</v>
      </c>
      <c r="F84" s="1399"/>
      <c r="G84" s="1400"/>
      <c r="H84" s="1401">
        <v>1760753</v>
      </c>
      <c r="I84" s="1367"/>
      <c r="J84" s="1523"/>
      <c r="K84" s="1518"/>
      <c r="L84" s="1524"/>
      <c r="M84" s="1518"/>
      <c r="N84" s="1507"/>
      <c r="O84" s="1507"/>
      <c r="P84" s="1507"/>
      <c r="Q84" s="1507"/>
      <c r="R84" s="1507"/>
      <c r="S84" s="1507"/>
      <c r="T84" s="1507"/>
      <c r="U84" s="1507"/>
      <c r="V84" s="1507"/>
      <c r="W84" s="1507"/>
      <c r="X84" s="1507"/>
      <c r="Y84" s="1507"/>
      <c r="Z84" s="1507"/>
      <c r="AA84" s="1507"/>
      <c r="AB84" s="1507"/>
      <c r="AC84" s="1507"/>
      <c r="AD84" s="1507"/>
      <c r="AE84" s="1507"/>
      <c r="AF84" s="1507"/>
      <c r="AG84" s="1507"/>
    </row>
    <row r="85" spans="1:33" s="1117" customFormat="1" ht="18.75" hidden="1">
      <c r="A85" s="1393"/>
      <c r="B85" s="1393"/>
      <c r="C85" s="1393"/>
      <c r="D85" s="1335"/>
      <c r="E85" s="1398"/>
      <c r="F85" s="1399"/>
      <c r="G85" s="1400"/>
      <c r="H85" s="1401"/>
      <c r="I85" s="1367"/>
      <c r="J85" s="1116"/>
      <c r="K85" s="72"/>
      <c r="L85" s="1172"/>
      <c r="M85" s="1149"/>
    </row>
    <row r="86" spans="1:33" s="1117" customFormat="1" ht="31.5">
      <c r="A86" s="1393"/>
      <c r="B86" s="1393"/>
      <c r="C86" s="1393"/>
      <c r="D86" s="1335"/>
      <c r="E86" s="1398" t="s">
        <v>2084</v>
      </c>
      <c r="F86" s="1399"/>
      <c r="G86" s="1402">
        <v>5239589</v>
      </c>
      <c r="H86" s="1401">
        <v>33196</v>
      </c>
      <c r="I86" s="1367"/>
      <c r="J86" s="1523"/>
      <c r="K86" s="1518"/>
      <c r="L86" s="1524"/>
      <c r="M86" s="1518"/>
      <c r="N86" s="1507"/>
      <c r="O86" s="1507"/>
      <c r="P86" s="1507"/>
      <c r="Q86" s="1507"/>
      <c r="R86" s="1507"/>
      <c r="S86" s="1507"/>
      <c r="T86" s="1507"/>
      <c r="U86" s="1507"/>
      <c r="V86" s="1507"/>
      <c r="W86" s="1507"/>
      <c r="X86" s="1507"/>
      <c r="Y86" s="1507"/>
      <c r="Z86" s="1507"/>
      <c r="AA86" s="1507"/>
      <c r="AB86" s="1507"/>
      <c r="AC86" s="1507"/>
      <c r="AD86" s="1507"/>
      <c r="AE86" s="1507"/>
      <c r="AF86" s="1507"/>
      <c r="AG86" s="1507"/>
    </row>
    <row r="87" spans="1:33" s="1117" customFormat="1" ht="31.5">
      <c r="A87" s="1393"/>
      <c r="B87" s="1393"/>
      <c r="C87" s="1393"/>
      <c r="D87" s="1335"/>
      <c r="E87" s="1398" t="s">
        <v>2085</v>
      </c>
      <c r="F87" s="1399"/>
      <c r="G87" s="1402">
        <v>8730334</v>
      </c>
      <c r="H87" s="1401">
        <f>386670+773330</f>
        <v>1160000</v>
      </c>
      <c r="I87" s="1367"/>
      <c r="J87" s="1523"/>
      <c r="K87" s="1518"/>
      <c r="L87" s="1524"/>
      <c r="M87" s="1518"/>
      <c r="N87" s="1507"/>
      <c r="O87" s="1507"/>
      <c r="P87" s="1507"/>
      <c r="Q87" s="1507"/>
      <c r="R87" s="1507"/>
      <c r="S87" s="1507"/>
      <c r="T87" s="1507"/>
      <c r="U87" s="1507"/>
      <c r="V87" s="1507"/>
      <c r="W87" s="1507"/>
      <c r="X87" s="1507"/>
      <c r="Y87" s="1507"/>
      <c r="Z87" s="1507"/>
      <c r="AA87" s="1507"/>
      <c r="AB87" s="1507"/>
      <c r="AC87" s="1507"/>
      <c r="AD87" s="1507"/>
      <c r="AE87" s="1507"/>
      <c r="AF87" s="1507"/>
      <c r="AG87" s="1507"/>
    </row>
    <row r="88" spans="1:33" s="1117" customFormat="1" ht="31.5">
      <c r="A88" s="1393"/>
      <c r="B88" s="1393"/>
      <c r="C88" s="1393"/>
      <c r="D88" s="1335"/>
      <c r="E88" s="1398" t="s">
        <v>2086</v>
      </c>
      <c r="F88" s="1399"/>
      <c r="G88" s="1400">
        <v>15333635</v>
      </c>
      <c r="H88" s="1401">
        <v>1378539</v>
      </c>
      <c r="I88" s="1367"/>
      <c r="J88" s="1523"/>
      <c r="K88" s="1518"/>
      <c r="L88" s="1524"/>
      <c r="M88" s="1518"/>
      <c r="N88" s="1507"/>
      <c r="O88" s="1507"/>
      <c r="P88" s="1507"/>
      <c r="Q88" s="1507"/>
      <c r="R88" s="1507"/>
      <c r="S88" s="1507"/>
      <c r="T88" s="1507"/>
      <c r="U88" s="1507"/>
      <c r="V88" s="1507"/>
      <c r="W88" s="1507"/>
      <c r="X88" s="1507"/>
      <c r="Y88" s="1507"/>
      <c r="Z88" s="1507"/>
      <c r="AA88" s="1507"/>
      <c r="AB88" s="1507"/>
      <c r="AC88" s="1507"/>
      <c r="AD88" s="1507"/>
      <c r="AE88" s="1507"/>
      <c r="AF88" s="1507"/>
      <c r="AG88" s="1507"/>
    </row>
    <row r="89" spans="1:33" s="1117" customFormat="1" ht="31.5">
      <c r="A89" s="1393"/>
      <c r="B89" s="1393"/>
      <c r="C89" s="1393"/>
      <c r="D89" s="1335"/>
      <c r="E89" s="1398" t="s">
        <v>2087</v>
      </c>
      <c r="F89" s="1399"/>
      <c r="G89" s="1400">
        <v>22460727</v>
      </c>
      <c r="H89" s="1401">
        <v>1232840</v>
      </c>
      <c r="I89" s="1367"/>
      <c r="J89" s="1523"/>
      <c r="K89" s="1518"/>
      <c r="L89" s="1524"/>
      <c r="M89" s="1518"/>
      <c r="N89" s="1507"/>
      <c r="O89" s="1507"/>
      <c r="P89" s="1507"/>
      <c r="Q89" s="1507"/>
      <c r="R89" s="1507"/>
      <c r="S89" s="1507"/>
      <c r="T89" s="1507"/>
      <c r="U89" s="1507"/>
      <c r="V89" s="1507"/>
      <c r="W89" s="1507"/>
      <c r="X89" s="1507"/>
      <c r="Y89" s="1507"/>
      <c r="Z89" s="1507"/>
      <c r="AA89" s="1507"/>
      <c r="AB89" s="1507"/>
      <c r="AC89" s="1507"/>
      <c r="AD89" s="1507"/>
      <c r="AE89" s="1507"/>
      <c r="AF89" s="1507"/>
      <c r="AG89" s="1507"/>
    </row>
    <row r="90" spans="1:33" s="1117" customFormat="1" ht="18.75" hidden="1">
      <c r="A90" s="1393"/>
      <c r="B90" s="1393"/>
      <c r="C90" s="1393"/>
      <c r="D90" s="1335"/>
      <c r="E90" s="1403"/>
      <c r="F90" s="1399"/>
      <c r="G90" s="1400"/>
      <c r="H90" s="1401"/>
      <c r="I90" s="1367"/>
      <c r="J90" s="1116"/>
      <c r="K90" s="72"/>
      <c r="L90" s="1172"/>
      <c r="M90" s="1149"/>
    </row>
    <row r="91" spans="1:33" s="1117" customFormat="1" ht="31.5">
      <c r="A91" s="1393"/>
      <c r="B91" s="1393"/>
      <c r="C91" s="1393"/>
      <c r="D91" s="1335"/>
      <c r="E91" s="1404" t="s">
        <v>2088</v>
      </c>
      <c r="F91" s="1399"/>
      <c r="G91" s="1402">
        <v>13553610</v>
      </c>
      <c r="H91" s="1401">
        <v>1868043</v>
      </c>
      <c r="I91" s="1367"/>
      <c r="J91" s="1523"/>
      <c r="K91" s="1518"/>
      <c r="L91" s="1524"/>
      <c r="M91" s="1518"/>
      <c r="N91" s="1507"/>
      <c r="O91" s="1507"/>
      <c r="P91" s="1507"/>
      <c r="Q91" s="1507"/>
      <c r="R91" s="1507"/>
      <c r="S91" s="1507"/>
      <c r="T91" s="1507"/>
      <c r="U91" s="1507"/>
      <c r="V91" s="1507"/>
      <c r="W91" s="1507"/>
      <c r="X91" s="1507"/>
      <c r="Y91" s="1507"/>
      <c r="Z91" s="1507"/>
      <c r="AA91" s="1507"/>
      <c r="AB91" s="1507"/>
      <c r="AC91" s="1507"/>
      <c r="AD91" s="1507"/>
      <c r="AE91" s="1507"/>
      <c r="AF91" s="1507"/>
      <c r="AG91" s="1507"/>
    </row>
    <row r="92" spans="1:33" s="1117" customFormat="1" ht="47.25">
      <c r="A92" s="1284">
        <v>1617363</v>
      </c>
      <c r="B92" s="1284">
        <v>7363</v>
      </c>
      <c r="C92" s="1281" t="s">
        <v>278</v>
      </c>
      <c r="D92" s="1328" t="s">
        <v>1944</v>
      </c>
      <c r="E92" s="1324" t="s">
        <v>1945</v>
      </c>
      <c r="F92" s="1368"/>
      <c r="G92" s="1371"/>
      <c r="H92" s="1370">
        <v>600000</v>
      </c>
      <c r="I92" s="1367"/>
      <c r="J92" s="1525">
        <f>+H92</f>
        <v>600000</v>
      </c>
      <c r="K92" s="1518">
        <f t="shared" si="4"/>
        <v>600000</v>
      </c>
      <c r="L92" s="1524"/>
      <c r="M92" s="1518"/>
      <c r="N92" s="1507"/>
      <c r="O92" s="1507"/>
      <c r="P92" s="1507"/>
      <c r="Q92" s="1507"/>
      <c r="R92" s="1507"/>
      <c r="S92" s="1507"/>
      <c r="T92" s="1507"/>
      <c r="U92" s="1507"/>
      <c r="V92" s="1507"/>
      <c r="W92" s="1507"/>
      <c r="X92" s="1507"/>
      <c r="Y92" s="1507"/>
      <c r="Z92" s="1507"/>
      <c r="AA92" s="1507"/>
      <c r="AB92" s="1507"/>
      <c r="AC92" s="1507"/>
      <c r="AD92" s="1507"/>
      <c r="AE92" s="1507"/>
      <c r="AF92" s="1507"/>
      <c r="AG92" s="1507"/>
    </row>
    <row r="93" spans="1:33" s="1117" customFormat="1" ht="31.15" customHeight="1">
      <c r="A93" s="1282">
        <v>1617367</v>
      </c>
      <c r="B93" s="1282" t="s">
        <v>842</v>
      </c>
      <c r="C93" s="1282" t="s">
        <v>278</v>
      </c>
      <c r="D93" s="1671" t="s">
        <v>854</v>
      </c>
      <c r="E93" s="1266" t="s">
        <v>1990</v>
      </c>
      <c r="F93" s="1349" t="s">
        <v>1190</v>
      </c>
      <c r="G93" s="1267">
        <v>7200000</v>
      </c>
      <c r="H93" s="1268">
        <v>3881236</v>
      </c>
      <c r="I93" s="1269">
        <v>90</v>
      </c>
      <c r="J93" s="1523">
        <f>[1]дод3!Q190</f>
        <v>128564537</v>
      </c>
      <c r="K93" s="1518">
        <f t="shared" si="4"/>
        <v>11081236</v>
      </c>
      <c r="L93" s="1507">
        <v>1500000</v>
      </c>
      <c r="M93" s="1518">
        <f>H93-L93</f>
        <v>2381236</v>
      </c>
      <c r="N93" s="1507"/>
      <c r="O93" s="1507"/>
      <c r="P93" s="1507"/>
      <c r="Q93" s="1507"/>
      <c r="R93" s="1507"/>
      <c r="S93" s="1507"/>
      <c r="T93" s="1507"/>
      <c r="U93" s="1507"/>
      <c r="V93" s="1507"/>
      <c r="W93" s="1507"/>
      <c r="X93" s="1507"/>
      <c r="Y93" s="1507"/>
      <c r="Z93" s="1507"/>
      <c r="AA93" s="1507"/>
      <c r="AB93" s="1507"/>
      <c r="AC93" s="1507"/>
      <c r="AD93" s="1507"/>
      <c r="AE93" s="1507"/>
      <c r="AF93" s="1507"/>
      <c r="AG93" s="1507"/>
    </row>
    <row r="94" spans="1:33" s="1117" customFormat="1" ht="31.5">
      <c r="A94" s="1283"/>
      <c r="B94" s="1283"/>
      <c r="C94" s="1283"/>
      <c r="D94" s="1672"/>
      <c r="E94" s="1266" t="s">
        <v>1991</v>
      </c>
      <c r="F94" s="1349" t="s">
        <v>1190</v>
      </c>
      <c r="G94" s="1267">
        <v>7200000</v>
      </c>
      <c r="H94" s="1268">
        <v>3609233</v>
      </c>
      <c r="I94" s="1269">
        <v>96.6</v>
      </c>
      <c r="J94" s="1523"/>
      <c r="K94" s="1518">
        <f t="shared" si="4"/>
        <v>10809233</v>
      </c>
      <c r="L94" s="1507">
        <v>2070000</v>
      </c>
      <c r="M94" s="1518">
        <f t="shared" ref="M94:M137" si="5">H94-L94</f>
        <v>1539233</v>
      </c>
      <c r="N94" s="1507"/>
      <c r="O94" s="1507"/>
      <c r="P94" s="1507"/>
      <c r="Q94" s="1507"/>
      <c r="R94" s="1507"/>
      <c r="S94" s="1507"/>
      <c r="T94" s="1507"/>
      <c r="U94" s="1507"/>
      <c r="V94" s="1507"/>
      <c r="W94" s="1507"/>
      <c r="X94" s="1507"/>
      <c r="Y94" s="1507"/>
      <c r="Z94" s="1507"/>
      <c r="AA94" s="1507"/>
      <c r="AB94" s="1507"/>
      <c r="AC94" s="1507"/>
      <c r="AD94" s="1507"/>
      <c r="AE94" s="1507"/>
      <c r="AF94" s="1507"/>
      <c r="AG94" s="1507"/>
    </row>
    <row r="95" spans="1:33" s="1117" customFormat="1" ht="31.5">
      <c r="A95" s="1283"/>
      <c r="B95" s="1283"/>
      <c r="C95" s="1283"/>
      <c r="D95" s="1672"/>
      <c r="E95" s="1266" t="s">
        <v>1992</v>
      </c>
      <c r="F95" s="1349" t="s">
        <v>1190</v>
      </c>
      <c r="G95" s="1267">
        <v>7200000</v>
      </c>
      <c r="H95" s="1268">
        <v>5332385</v>
      </c>
      <c r="I95" s="1269">
        <v>90.3</v>
      </c>
      <c r="J95" s="1523"/>
      <c r="K95" s="1518">
        <f t="shared" si="4"/>
        <v>12532385</v>
      </c>
      <c r="L95" s="1507">
        <v>1000000</v>
      </c>
      <c r="M95" s="1518">
        <f t="shared" si="5"/>
        <v>4332385</v>
      </c>
      <c r="N95" s="1507"/>
      <c r="O95" s="1507"/>
      <c r="P95" s="1507"/>
      <c r="Q95" s="1507"/>
      <c r="R95" s="1507"/>
      <c r="S95" s="1507"/>
      <c r="T95" s="1507"/>
      <c r="U95" s="1507"/>
      <c r="V95" s="1507"/>
      <c r="W95" s="1507"/>
      <c r="X95" s="1507"/>
      <c r="Y95" s="1507"/>
      <c r="Z95" s="1507"/>
      <c r="AA95" s="1507"/>
      <c r="AB95" s="1507"/>
      <c r="AC95" s="1507"/>
      <c r="AD95" s="1507"/>
      <c r="AE95" s="1507"/>
      <c r="AF95" s="1507"/>
      <c r="AG95" s="1507"/>
    </row>
    <row r="96" spans="1:33" s="1117" customFormat="1" ht="31.5">
      <c r="A96" s="1283"/>
      <c r="B96" s="1283"/>
      <c r="C96" s="1283"/>
      <c r="D96" s="1672"/>
      <c r="E96" s="1266" t="s">
        <v>1993</v>
      </c>
      <c r="F96" s="1349" t="s">
        <v>1190</v>
      </c>
      <c r="G96" s="1267">
        <v>7200000</v>
      </c>
      <c r="H96" s="1268">
        <v>4158207</v>
      </c>
      <c r="I96" s="1269">
        <v>90</v>
      </c>
      <c r="J96" s="1523"/>
      <c r="K96" s="1518">
        <f t="shared" si="4"/>
        <v>11358207</v>
      </c>
      <c r="L96" s="1507">
        <v>926100</v>
      </c>
      <c r="M96" s="1518">
        <f t="shared" si="5"/>
        <v>3232107</v>
      </c>
      <c r="N96" s="1507"/>
      <c r="O96" s="1507"/>
      <c r="P96" s="1507"/>
      <c r="Q96" s="1507"/>
      <c r="R96" s="1507"/>
      <c r="S96" s="1507"/>
      <c r="T96" s="1507"/>
      <c r="U96" s="1507"/>
      <c r="V96" s="1507"/>
      <c r="W96" s="1507"/>
      <c r="X96" s="1507"/>
      <c r="Y96" s="1507"/>
      <c r="Z96" s="1507"/>
      <c r="AA96" s="1507"/>
      <c r="AB96" s="1507"/>
      <c r="AC96" s="1507"/>
      <c r="AD96" s="1507"/>
      <c r="AE96" s="1507"/>
      <c r="AF96" s="1507"/>
      <c r="AG96" s="1507"/>
    </row>
    <row r="97" spans="1:33" s="1117" customFormat="1" ht="31.5">
      <c r="A97" s="1283"/>
      <c r="B97" s="1283"/>
      <c r="C97" s="1283"/>
      <c r="D97" s="1672"/>
      <c r="E97" s="1266" t="s">
        <v>1994</v>
      </c>
      <c r="F97" s="1349" t="s">
        <v>1190</v>
      </c>
      <c r="G97" s="1267">
        <v>7200000</v>
      </c>
      <c r="H97" s="1268">
        <v>3550097</v>
      </c>
      <c r="I97" s="1269">
        <v>90</v>
      </c>
      <c r="J97" s="1523"/>
      <c r="K97" s="1518">
        <f t="shared" si="4"/>
        <v>10750097</v>
      </c>
      <c r="L97" s="1507">
        <v>1500000</v>
      </c>
      <c r="M97" s="1518">
        <f t="shared" si="5"/>
        <v>2050097</v>
      </c>
      <c r="N97" s="1507"/>
      <c r="O97" s="1507"/>
      <c r="P97" s="1507"/>
      <c r="Q97" s="1507"/>
      <c r="R97" s="1507"/>
      <c r="S97" s="1507"/>
      <c r="T97" s="1507"/>
      <c r="U97" s="1507"/>
      <c r="V97" s="1507"/>
      <c r="W97" s="1507"/>
      <c r="X97" s="1507"/>
      <c r="Y97" s="1507"/>
      <c r="Z97" s="1507"/>
      <c r="AA97" s="1507"/>
      <c r="AB97" s="1507"/>
      <c r="AC97" s="1507"/>
      <c r="AD97" s="1507"/>
      <c r="AE97" s="1507"/>
      <c r="AF97" s="1507"/>
      <c r="AG97" s="1507"/>
    </row>
    <row r="98" spans="1:33" s="1117" customFormat="1" ht="31.5">
      <c r="A98" s="1283"/>
      <c r="B98" s="1283"/>
      <c r="C98" s="1283"/>
      <c r="D98" s="1672"/>
      <c r="E98" s="1266" t="s">
        <v>1995</v>
      </c>
      <c r="F98" s="1349" t="s">
        <v>1190</v>
      </c>
      <c r="G98" s="1267">
        <v>7200000</v>
      </c>
      <c r="H98" s="1268">
        <v>4677652</v>
      </c>
      <c r="I98" s="1269">
        <v>90</v>
      </c>
      <c r="J98" s="1523"/>
      <c r="K98" s="1518">
        <f t="shared" si="4"/>
        <v>11877652</v>
      </c>
      <c r="L98" s="1507">
        <v>1500000</v>
      </c>
      <c r="M98" s="1518">
        <f t="shared" si="5"/>
        <v>3177652</v>
      </c>
      <c r="N98" s="1507"/>
      <c r="O98" s="1507"/>
      <c r="P98" s="1507"/>
      <c r="Q98" s="1507"/>
      <c r="R98" s="1507"/>
      <c r="S98" s="1507"/>
      <c r="T98" s="1507"/>
      <c r="U98" s="1507"/>
      <c r="V98" s="1507"/>
      <c r="W98" s="1507"/>
      <c r="X98" s="1507"/>
      <c r="Y98" s="1507"/>
      <c r="Z98" s="1507"/>
      <c r="AA98" s="1507"/>
      <c r="AB98" s="1507"/>
      <c r="AC98" s="1507"/>
      <c r="AD98" s="1507"/>
      <c r="AE98" s="1507"/>
      <c r="AF98" s="1507"/>
      <c r="AG98" s="1507"/>
    </row>
    <row r="99" spans="1:33" s="1117" customFormat="1" ht="31.5">
      <c r="A99" s="1283"/>
      <c r="B99" s="1283"/>
      <c r="C99" s="1283"/>
      <c r="D99" s="1672"/>
      <c r="E99" s="1266" t="s">
        <v>1996</v>
      </c>
      <c r="F99" s="1349" t="s">
        <v>1190</v>
      </c>
      <c r="G99" s="1267">
        <v>7200000</v>
      </c>
      <c r="H99" s="1270">
        <v>3627323</v>
      </c>
      <c r="I99" s="1269">
        <v>90</v>
      </c>
      <c r="J99" s="1523"/>
      <c r="K99" s="1518">
        <f t="shared" si="4"/>
        <v>10827323</v>
      </c>
      <c r="L99" s="1507">
        <v>1500000</v>
      </c>
      <c r="M99" s="1518">
        <f t="shared" si="5"/>
        <v>2127323</v>
      </c>
      <c r="N99" s="1507"/>
      <c r="O99" s="1507"/>
      <c r="P99" s="1507"/>
      <c r="Q99" s="1507"/>
      <c r="R99" s="1507"/>
      <c r="S99" s="1507"/>
      <c r="T99" s="1507"/>
      <c r="U99" s="1507"/>
      <c r="V99" s="1507"/>
      <c r="W99" s="1507"/>
      <c r="X99" s="1507"/>
      <c r="Y99" s="1507"/>
      <c r="Z99" s="1507"/>
      <c r="AA99" s="1507"/>
      <c r="AB99" s="1507"/>
      <c r="AC99" s="1507"/>
      <c r="AD99" s="1507"/>
      <c r="AE99" s="1507"/>
      <c r="AF99" s="1507"/>
      <c r="AG99" s="1507"/>
    </row>
    <row r="100" spans="1:33" s="1117" customFormat="1" ht="31.5">
      <c r="A100" s="1283"/>
      <c r="B100" s="1283"/>
      <c r="C100" s="1283"/>
      <c r="D100" s="1672"/>
      <c r="E100" s="1266" t="s">
        <v>1997</v>
      </c>
      <c r="F100" s="1349" t="s">
        <v>1190</v>
      </c>
      <c r="G100" s="1267">
        <v>7200000</v>
      </c>
      <c r="H100" s="1270">
        <v>6209818</v>
      </c>
      <c r="I100" s="1269">
        <v>90</v>
      </c>
      <c r="J100" s="1523"/>
      <c r="K100" s="1518">
        <f t="shared" si="4"/>
        <v>13409818</v>
      </c>
      <c r="L100" s="1507">
        <v>2820000</v>
      </c>
      <c r="M100" s="1518">
        <f t="shared" si="5"/>
        <v>3389818</v>
      </c>
      <c r="N100" s="1507"/>
      <c r="O100" s="1507"/>
      <c r="P100" s="1507"/>
      <c r="Q100" s="1507"/>
      <c r="R100" s="1507"/>
      <c r="S100" s="1507"/>
      <c r="T100" s="1507"/>
      <c r="U100" s="1507"/>
      <c r="V100" s="1507"/>
      <c r="W100" s="1507"/>
      <c r="X100" s="1507"/>
      <c r="Y100" s="1507"/>
      <c r="Z100" s="1507"/>
      <c r="AA100" s="1507"/>
      <c r="AB100" s="1507"/>
      <c r="AC100" s="1507"/>
      <c r="AD100" s="1507"/>
      <c r="AE100" s="1507"/>
      <c r="AF100" s="1507"/>
      <c r="AG100" s="1507"/>
    </row>
    <row r="101" spans="1:33" s="1117" customFormat="1" ht="31.5">
      <c r="A101" s="1283"/>
      <c r="B101" s="1283"/>
      <c r="C101" s="1283"/>
      <c r="D101" s="1672"/>
      <c r="E101" s="1266" t="s">
        <v>1998</v>
      </c>
      <c r="F101" s="1349" t="s">
        <v>1190</v>
      </c>
      <c r="G101" s="1267">
        <v>7200000</v>
      </c>
      <c r="H101" s="1270">
        <v>4261327</v>
      </c>
      <c r="I101" s="1269">
        <v>95.6</v>
      </c>
      <c r="J101" s="1523"/>
      <c r="K101" s="1518">
        <f t="shared" si="4"/>
        <v>11461327</v>
      </c>
      <c r="L101" s="1507">
        <v>2320000</v>
      </c>
      <c r="M101" s="1518">
        <f t="shared" si="5"/>
        <v>1941327</v>
      </c>
      <c r="N101" s="1507"/>
      <c r="O101" s="1507"/>
      <c r="P101" s="1507"/>
      <c r="Q101" s="1507"/>
      <c r="R101" s="1507"/>
      <c r="S101" s="1507"/>
      <c r="T101" s="1507"/>
      <c r="U101" s="1507"/>
      <c r="V101" s="1507"/>
      <c r="W101" s="1507"/>
      <c r="X101" s="1507"/>
      <c r="Y101" s="1507"/>
      <c r="Z101" s="1507"/>
      <c r="AA101" s="1507"/>
      <c r="AB101" s="1507"/>
      <c r="AC101" s="1507"/>
      <c r="AD101" s="1507"/>
      <c r="AE101" s="1507"/>
      <c r="AF101" s="1507"/>
      <c r="AG101" s="1507"/>
    </row>
    <row r="102" spans="1:33" s="1117" customFormat="1" ht="31.5">
      <c r="A102" s="1283"/>
      <c r="B102" s="1283"/>
      <c r="C102" s="1283"/>
      <c r="D102" s="1672"/>
      <c r="E102" s="1266" t="s">
        <v>1999</v>
      </c>
      <c r="F102" s="1349" t="s">
        <v>1190</v>
      </c>
      <c r="G102" s="1267">
        <v>7200000</v>
      </c>
      <c r="H102" s="1270">
        <v>4253405</v>
      </c>
      <c r="I102" s="1269">
        <v>90</v>
      </c>
      <c r="J102" s="1523"/>
      <c r="K102" s="1518">
        <f t="shared" si="4"/>
        <v>11453405</v>
      </c>
      <c r="L102" s="1507">
        <v>1250000</v>
      </c>
      <c r="M102" s="1518">
        <f t="shared" si="5"/>
        <v>3003405</v>
      </c>
      <c r="N102" s="1507"/>
      <c r="O102" s="1507"/>
      <c r="P102" s="1507"/>
      <c r="Q102" s="1507"/>
      <c r="R102" s="1507"/>
      <c r="S102" s="1507"/>
      <c r="T102" s="1507"/>
      <c r="U102" s="1507"/>
      <c r="V102" s="1507"/>
      <c r="W102" s="1507"/>
      <c r="X102" s="1507"/>
      <c r="Y102" s="1507"/>
      <c r="Z102" s="1507"/>
      <c r="AA102" s="1507"/>
      <c r="AB102" s="1507"/>
      <c r="AC102" s="1507"/>
      <c r="AD102" s="1507"/>
      <c r="AE102" s="1507"/>
      <c r="AF102" s="1507"/>
      <c r="AG102" s="1507"/>
    </row>
    <row r="103" spans="1:33" s="1117" customFormat="1" ht="31.5">
      <c r="A103" s="1283"/>
      <c r="B103" s="1283"/>
      <c r="C103" s="1283"/>
      <c r="D103" s="1672"/>
      <c r="E103" s="1266" t="s">
        <v>2000</v>
      </c>
      <c r="F103" s="1349" t="s">
        <v>1190</v>
      </c>
      <c r="G103" s="1267">
        <v>7200000</v>
      </c>
      <c r="H103" s="1270">
        <v>4518755</v>
      </c>
      <c r="I103" s="1269">
        <v>90</v>
      </c>
      <c r="J103" s="1523"/>
      <c r="K103" s="1518">
        <f t="shared" si="4"/>
        <v>11718755</v>
      </c>
      <c r="L103" s="1507">
        <v>2320000</v>
      </c>
      <c r="M103" s="1518">
        <f t="shared" si="5"/>
        <v>2198755</v>
      </c>
      <c r="N103" s="1507"/>
      <c r="O103" s="1507"/>
      <c r="P103" s="1507"/>
      <c r="Q103" s="1507"/>
      <c r="R103" s="1507"/>
      <c r="S103" s="1507"/>
      <c r="T103" s="1507"/>
      <c r="U103" s="1507"/>
      <c r="V103" s="1507"/>
      <c r="W103" s="1507"/>
      <c r="X103" s="1507"/>
      <c r="Y103" s="1507"/>
      <c r="Z103" s="1507"/>
      <c r="AA103" s="1507"/>
      <c r="AB103" s="1507"/>
      <c r="AC103" s="1507"/>
      <c r="AD103" s="1507"/>
      <c r="AE103" s="1507"/>
      <c r="AF103" s="1507"/>
      <c r="AG103" s="1507"/>
    </row>
    <row r="104" spans="1:33" s="1117" customFormat="1" ht="31.5">
      <c r="A104" s="1283"/>
      <c r="B104" s="1283"/>
      <c r="C104" s="1283"/>
      <c r="D104" s="1672"/>
      <c r="E104" s="1266" t="s">
        <v>2001</v>
      </c>
      <c r="F104" s="1349" t="s">
        <v>1190</v>
      </c>
      <c r="G104" s="1267">
        <v>7200000</v>
      </c>
      <c r="H104" s="1270">
        <v>4024436</v>
      </c>
      <c r="I104" s="1269">
        <v>95.6</v>
      </c>
      <c r="J104" s="1523"/>
      <c r="K104" s="1518">
        <f t="shared" si="4"/>
        <v>11224436</v>
      </c>
      <c r="L104" s="1507">
        <v>1320000</v>
      </c>
      <c r="M104" s="1518">
        <f t="shared" si="5"/>
        <v>2704436</v>
      </c>
      <c r="N104" s="1507"/>
      <c r="O104" s="1507"/>
      <c r="P104" s="1507"/>
      <c r="Q104" s="1507"/>
      <c r="R104" s="1507"/>
      <c r="S104" s="1507"/>
      <c r="T104" s="1507"/>
      <c r="U104" s="1507"/>
      <c r="V104" s="1507"/>
      <c r="W104" s="1507"/>
      <c r="X104" s="1507"/>
      <c r="Y104" s="1507"/>
      <c r="Z104" s="1507"/>
      <c r="AA104" s="1507"/>
      <c r="AB104" s="1507"/>
      <c r="AC104" s="1507"/>
      <c r="AD104" s="1507"/>
      <c r="AE104" s="1507"/>
      <c r="AF104" s="1507"/>
      <c r="AG104" s="1507"/>
    </row>
    <row r="105" spans="1:33" s="1117" customFormat="1" ht="31.5">
      <c r="A105" s="1283"/>
      <c r="B105" s="1283"/>
      <c r="C105" s="1283"/>
      <c r="D105" s="1672"/>
      <c r="E105" s="1266" t="s">
        <v>2002</v>
      </c>
      <c r="F105" s="1349" t="s">
        <v>1190</v>
      </c>
      <c r="G105" s="1267">
        <v>7200000</v>
      </c>
      <c r="H105" s="1270">
        <v>3722983</v>
      </c>
      <c r="I105" s="1269">
        <v>90</v>
      </c>
      <c r="J105" s="1523"/>
      <c r="K105" s="1518">
        <f t="shared" si="4"/>
        <v>10922983</v>
      </c>
      <c r="L105" s="1507">
        <v>2320000</v>
      </c>
      <c r="M105" s="1518">
        <f t="shared" si="5"/>
        <v>1402983</v>
      </c>
      <c r="N105" s="1507"/>
      <c r="O105" s="1507"/>
      <c r="P105" s="1507"/>
      <c r="Q105" s="1507"/>
      <c r="R105" s="1507"/>
      <c r="S105" s="1507"/>
      <c r="T105" s="1507"/>
      <c r="U105" s="1507"/>
      <c r="V105" s="1507"/>
      <c r="W105" s="1507"/>
      <c r="X105" s="1507"/>
      <c r="Y105" s="1507"/>
      <c r="Z105" s="1507"/>
      <c r="AA105" s="1507"/>
      <c r="AB105" s="1507"/>
      <c r="AC105" s="1507"/>
      <c r="AD105" s="1507"/>
      <c r="AE105" s="1507"/>
      <c r="AF105" s="1507"/>
      <c r="AG105" s="1507"/>
    </row>
    <row r="106" spans="1:33" s="1117" customFormat="1" ht="31.5">
      <c r="A106" s="1283"/>
      <c r="B106" s="1283"/>
      <c r="C106" s="1283"/>
      <c r="D106" s="1672"/>
      <c r="E106" s="1266" t="s">
        <v>2003</v>
      </c>
      <c r="F106" s="1349" t="s">
        <v>1190</v>
      </c>
      <c r="G106" s="1267">
        <v>7200000</v>
      </c>
      <c r="H106" s="1270">
        <v>4015357</v>
      </c>
      <c r="I106" s="1269">
        <v>95.6</v>
      </c>
      <c r="J106" s="1523"/>
      <c r="K106" s="1518">
        <f t="shared" si="4"/>
        <v>11215357</v>
      </c>
      <c r="L106" s="1507">
        <v>2500000</v>
      </c>
      <c r="M106" s="1518">
        <f t="shared" si="5"/>
        <v>1515357</v>
      </c>
      <c r="N106" s="1507"/>
      <c r="O106" s="1507"/>
      <c r="P106" s="1507"/>
      <c r="Q106" s="1507"/>
      <c r="R106" s="1507"/>
      <c r="S106" s="1507"/>
      <c r="T106" s="1507"/>
      <c r="U106" s="1507"/>
      <c r="V106" s="1507"/>
      <c r="W106" s="1507"/>
      <c r="X106" s="1507"/>
      <c r="Y106" s="1507"/>
      <c r="Z106" s="1507"/>
      <c r="AA106" s="1507"/>
      <c r="AB106" s="1507"/>
      <c r="AC106" s="1507"/>
      <c r="AD106" s="1507"/>
      <c r="AE106" s="1507"/>
      <c r="AF106" s="1507"/>
      <c r="AG106" s="1507"/>
    </row>
    <row r="107" spans="1:33" s="1117" customFormat="1" ht="31.5">
      <c r="A107" s="1283"/>
      <c r="B107" s="1283"/>
      <c r="C107" s="1283"/>
      <c r="D107" s="1672"/>
      <c r="E107" s="1266" t="s">
        <v>2004</v>
      </c>
      <c r="F107" s="1349" t="s">
        <v>1190</v>
      </c>
      <c r="G107" s="1267">
        <v>7200000</v>
      </c>
      <c r="H107" s="1270">
        <v>4585398</v>
      </c>
      <c r="I107" s="1269">
        <v>90</v>
      </c>
      <c r="J107" s="1523"/>
      <c r="K107" s="1518">
        <f t="shared" si="4"/>
        <v>11785398</v>
      </c>
      <c r="L107" s="1507">
        <v>1020000</v>
      </c>
      <c r="M107" s="1518">
        <f t="shared" si="5"/>
        <v>3565398</v>
      </c>
      <c r="N107" s="1507"/>
      <c r="O107" s="1507"/>
      <c r="P107" s="1507"/>
      <c r="Q107" s="1507"/>
      <c r="R107" s="1507"/>
      <c r="S107" s="1507"/>
      <c r="T107" s="1507"/>
      <c r="U107" s="1507"/>
      <c r="V107" s="1507"/>
      <c r="W107" s="1507"/>
      <c r="X107" s="1507"/>
      <c r="Y107" s="1507"/>
      <c r="Z107" s="1507"/>
      <c r="AA107" s="1507"/>
      <c r="AB107" s="1507"/>
      <c r="AC107" s="1507"/>
      <c r="AD107" s="1507"/>
      <c r="AE107" s="1507"/>
      <c r="AF107" s="1507"/>
      <c r="AG107" s="1507"/>
    </row>
    <row r="108" spans="1:33" s="1117" customFormat="1" ht="31.5">
      <c r="A108" s="1283"/>
      <c r="B108" s="1283"/>
      <c r="C108" s="1283"/>
      <c r="D108" s="1672"/>
      <c r="E108" s="1266" t="s">
        <v>2005</v>
      </c>
      <c r="F108" s="1349" t="s">
        <v>1190</v>
      </c>
      <c r="G108" s="1267">
        <v>7200000</v>
      </c>
      <c r="H108" s="1270">
        <v>3230495</v>
      </c>
      <c r="I108" s="1269">
        <v>90</v>
      </c>
      <c r="J108" s="1523"/>
      <c r="K108" s="1518">
        <f t="shared" si="4"/>
        <v>10430495</v>
      </c>
      <c r="L108" s="1507">
        <v>1020000</v>
      </c>
      <c r="M108" s="1518">
        <f t="shared" si="5"/>
        <v>2210495</v>
      </c>
      <c r="N108" s="1507"/>
      <c r="O108" s="1507"/>
      <c r="P108" s="1507"/>
      <c r="Q108" s="1507"/>
      <c r="R108" s="1507"/>
      <c r="S108" s="1507"/>
      <c r="T108" s="1507"/>
      <c r="U108" s="1507"/>
      <c r="V108" s="1507"/>
      <c r="W108" s="1507"/>
      <c r="X108" s="1507"/>
      <c r="Y108" s="1507"/>
      <c r="Z108" s="1507"/>
      <c r="AA108" s="1507"/>
      <c r="AB108" s="1507"/>
      <c r="AC108" s="1507"/>
      <c r="AD108" s="1507"/>
      <c r="AE108" s="1507"/>
      <c r="AF108" s="1507"/>
      <c r="AG108" s="1507"/>
    </row>
    <row r="109" spans="1:33" s="1117" customFormat="1" ht="31.5">
      <c r="A109" s="1283"/>
      <c r="B109" s="1283"/>
      <c r="C109" s="1283"/>
      <c r="D109" s="1672"/>
      <c r="E109" s="1266" t="s">
        <v>2006</v>
      </c>
      <c r="F109" s="1349" t="s">
        <v>1190</v>
      </c>
      <c r="G109" s="1267">
        <v>7200000</v>
      </c>
      <c r="H109" s="1270">
        <v>2510495</v>
      </c>
      <c r="I109" s="1269">
        <v>90</v>
      </c>
      <c r="J109" s="1523"/>
      <c r="K109" s="1518">
        <f t="shared" si="4"/>
        <v>9710495</v>
      </c>
      <c r="L109" s="1507">
        <v>2500000</v>
      </c>
      <c r="M109" s="1518">
        <f t="shared" si="5"/>
        <v>10495</v>
      </c>
      <c r="N109" s="1507"/>
      <c r="O109" s="1507"/>
      <c r="P109" s="1507"/>
      <c r="Q109" s="1507"/>
      <c r="R109" s="1507"/>
      <c r="S109" s="1507"/>
      <c r="T109" s="1507"/>
      <c r="U109" s="1507"/>
      <c r="V109" s="1507"/>
      <c r="W109" s="1507"/>
      <c r="X109" s="1507"/>
      <c r="Y109" s="1507"/>
      <c r="Z109" s="1507"/>
      <c r="AA109" s="1507"/>
      <c r="AB109" s="1507"/>
      <c r="AC109" s="1507"/>
      <c r="AD109" s="1507"/>
      <c r="AE109" s="1507"/>
      <c r="AF109" s="1507"/>
      <c r="AG109" s="1507"/>
    </row>
    <row r="110" spans="1:33" s="1117" customFormat="1" ht="31.5">
      <c r="A110" s="1283"/>
      <c r="B110" s="1283"/>
      <c r="C110" s="1283"/>
      <c r="D110" s="1672"/>
      <c r="E110" s="1266" t="s">
        <v>2007</v>
      </c>
      <c r="F110" s="1349" t="s">
        <v>1190</v>
      </c>
      <c r="G110" s="1267">
        <v>7200000</v>
      </c>
      <c r="H110" s="1270">
        <v>5305811</v>
      </c>
      <c r="I110" s="1269">
        <v>100</v>
      </c>
      <c r="J110" s="1523"/>
      <c r="K110" s="1518">
        <f t="shared" si="4"/>
        <v>12505811</v>
      </c>
      <c r="L110" s="1507">
        <v>1200000</v>
      </c>
      <c r="M110" s="1518">
        <f t="shared" si="5"/>
        <v>4105811</v>
      </c>
      <c r="N110" s="1507"/>
      <c r="O110" s="1507"/>
      <c r="P110" s="1507"/>
      <c r="Q110" s="1507"/>
      <c r="R110" s="1507"/>
      <c r="S110" s="1507"/>
      <c r="T110" s="1507"/>
      <c r="U110" s="1507"/>
      <c r="V110" s="1507"/>
      <c r="W110" s="1507"/>
      <c r="X110" s="1507"/>
      <c r="Y110" s="1507"/>
      <c r="Z110" s="1507"/>
      <c r="AA110" s="1507"/>
      <c r="AB110" s="1507"/>
      <c r="AC110" s="1507"/>
      <c r="AD110" s="1507"/>
      <c r="AE110" s="1507"/>
      <c r="AF110" s="1507"/>
      <c r="AG110" s="1507"/>
    </row>
    <row r="111" spans="1:33" s="1117" customFormat="1" ht="31.5">
      <c r="A111" s="1283"/>
      <c r="B111" s="1283"/>
      <c r="C111" s="1283"/>
      <c r="D111" s="1672"/>
      <c r="E111" s="1266" t="s">
        <v>2008</v>
      </c>
      <c r="F111" s="1349" t="s">
        <v>1190</v>
      </c>
      <c r="G111" s="1267">
        <v>7200000</v>
      </c>
      <c r="H111" s="1270">
        <v>2910495</v>
      </c>
      <c r="I111" s="1269">
        <v>90</v>
      </c>
      <c r="J111" s="1523"/>
      <c r="K111" s="1518">
        <f t="shared" si="4"/>
        <v>10110495</v>
      </c>
      <c r="L111" s="1507">
        <v>2520000</v>
      </c>
      <c r="M111" s="1518">
        <f t="shared" si="5"/>
        <v>390495</v>
      </c>
      <c r="N111" s="1507"/>
      <c r="O111" s="1507"/>
      <c r="P111" s="1507"/>
      <c r="Q111" s="1507"/>
      <c r="R111" s="1507"/>
      <c r="S111" s="1507"/>
      <c r="T111" s="1507"/>
      <c r="U111" s="1507"/>
      <c r="V111" s="1507"/>
      <c r="W111" s="1507"/>
      <c r="X111" s="1507"/>
      <c r="Y111" s="1507"/>
      <c r="Z111" s="1507"/>
      <c r="AA111" s="1507"/>
      <c r="AB111" s="1507"/>
      <c r="AC111" s="1507"/>
      <c r="AD111" s="1507"/>
      <c r="AE111" s="1507"/>
      <c r="AF111" s="1507"/>
      <c r="AG111" s="1507"/>
    </row>
    <row r="112" spans="1:33" s="1117" customFormat="1" ht="31.5">
      <c r="A112" s="1283"/>
      <c r="B112" s="1283"/>
      <c r="C112" s="1283"/>
      <c r="D112" s="1672"/>
      <c r="E112" s="1266" t="s">
        <v>2009</v>
      </c>
      <c r="F112" s="1349" t="s">
        <v>1190</v>
      </c>
      <c r="G112" s="1267">
        <v>7200000</v>
      </c>
      <c r="H112" s="1270">
        <v>3323154</v>
      </c>
      <c r="I112" s="1269">
        <v>92.8</v>
      </c>
      <c r="J112" s="1523"/>
      <c r="K112" s="1518">
        <f t="shared" si="4"/>
        <v>10523154</v>
      </c>
      <c r="L112" s="1507">
        <v>1500000</v>
      </c>
      <c r="M112" s="1518">
        <f t="shared" si="5"/>
        <v>1823154</v>
      </c>
      <c r="N112" s="1507"/>
      <c r="O112" s="1507"/>
      <c r="P112" s="1507"/>
      <c r="Q112" s="1507"/>
      <c r="R112" s="1507"/>
      <c r="S112" s="1507"/>
      <c r="T112" s="1507"/>
      <c r="U112" s="1507"/>
      <c r="V112" s="1507"/>
      <c r="W112" s="1507"/>
      <c r="X112" s="1507"/>
      <c r="Y112" s="1507"/>
      <c r="Z112" s="1507"/>
      <c r="AA112" s="1507"/>
      <c r="AB112" s="1507"/>
      <c r="AC112" s="1507"/>
      <c r="AD112" s="1507"/>
      <c r="AE112" s="1507"/>
      <c r="AF112" s="1507"/>
      <c r="AG112" s="1507"/>
    </row>
    <row r="113" spans="1:33" s="1117" customFormat="1" ht="31.5">
      <c r="A113" s="1283"/>
      <c r="B113" s="1283"/>
      <c r="C113" s="1283"/>
      <c r="D113" s="1672"/>
      <c r="E113" s="1266" t="s">
        <v>2010</v>
      </c>
      <c r="F113" s="1349" t="s">
        <v>1190</v>
      </c>
      <c r="G113" s="1267">
        <v>7200000</v>
      </c>
      <c r="H113" s="1270">
        <v>4585673</v>
      </c>
      <c r="I113" s="1269">
        <v>90</v>
      </c>
      <c r="J113" s="1523"/>
      <c r="K113" s="1518">
        <f t="shared" si="4"/>
        <v>11785673</v>
      </c>
      <c r="L113" s="1507">
        <v>2520000</v>
      </c>
      <c r="M113" s="1518">
        <f t="shared" si="5"/>
        <v>2065673</v>
      </c>
      <c r="N113" s="1507"/>
      <c r="O113" s="1507"/>
      <c r="P113" s="1507"/>
      <c r="Q113" s="1507"/>
      <c r="R113" s="1507"/>
      <c r="S113" s="1507"/>
      <c r="T113" s="1507"/>
      <c r="U113" s="1507"/>
      <c r="V113" s="1507"/>
      <c r="W113" s="1507"/>
      <c r="X113" s="1507"/>
      <c r="Y113" s="1507"/>
      <c r="Z113" s="1507"/>
      <c r="AA113" s="1507"/>
      <c r="AB113" s="1507"/>
      <c r="AC113" s="1507"/>
      <c r="AD113" s="1507"/>
      <c r="AE113" s="1507"/>
      <c r="AF113" s="1507"/>
      <c r="AG113" s="1507"/>
    </row>
    <row r="114" spans="1:33" s="1117" customFormat="1" ht="31.5">
      <c r="A114" s="1283"/>
      <c r="B114" s="1283"/>
      <c r="C114" s="1283"/>
      <c r="D114" s="1672"/>
      <c r="E114" s="1266" t="s">
        <v>2011</v>
      </c>
      <c r="F114" s="1349" t="s">
        <v>1190</v>
      </c>
      <c r="G114" s="1267">
        <v>7200000</v>
      </c>
      <c r="H114" s="1270">
        <v>4136702</v>
      </c>
      <c r="I114" s="1269">
        <v>85.6</v>
      </c>
      <c r="J114" s="1523"/>
      <c r="K114" s="1518">
        <f t="shared" si="4"/>
        <v>11336702</v>
      </c>
      <c r="L114" s="1507"/>
      <c r="M114" s="1518"/>
      <c r="N114" s="1507"/>
      <c r="O114" s="1507"/>
      <c r="P114" s="1507"/>
      <c r="Q114" s="1507"/>
      <c r="R114" s="1507"/>
      <c r="S114" s="1507"/>
      <c r="T114" s="1507"/>
      <c r="U114" s="1507"/>
      <c r="V114" s="1507"/>
      <c r="W114" s="1507"/>
      <c r="X114" s="1507"/>
      <c r="Y114" s="1507"/>
      <c r="Z114" s="1507"/>
      <c r="AA114" s="1507"/>
      <c r="AB114" s="1507"/>
      <c r="AC114" s="1507"/>
      <c r="AD114" s="1507"/>
      <c r="AE114" s="1507"/>
      <c r="AF114" s="1507"/>
      <c r="AG114" s="1507"/>
    </row>
    <row r="115" spans="1:33" s="1117" customFormat="1" ht="31.5">
      <c r="A115" s="1283"/>
      <c r="B115" s="1283"/>
      <c r="C115" s="1283"/>
      <c r="D115" s="1672"/>
      <c r="E115" s="1266" t="s">
        <v>2012</v>
      </c>
      <c r="F115" s="1372"/>
      <c r="G115" s="892"/>
      <c r="H115" s="892">
        <v>720000</v>
      </c>
      <c r="I115" s="892"/>
      <c r="J115" s="1523"/>
      <c r="K115" s="1518">
        <f t="shared" si="4"/>
        <v>720000</v>
      </c>
      <c r="L115" s="1507">
        <v>1820000</v>
      </c>
      <c r="M115" s="1518">
        <f t="shared" si="5"/>
        <v>-1100000</v>
      </c>
      <c r="N115" s="1507"/>
      <c r="O115" s="1507"/>
      <c r="P115" s="1507"/>
      <c r="Q115" s="1507"/>
      <c r="R115" s="1507"/>
      <c r="S115" s="1507"/>
      <c r="T115" s="1507"/>
      <c r="U115" s="1507"/>
      <c r="V115" s="1507"/>
      <c r="W115" s="1507"/>
      <c r="X115" s="1507"/>
      <c r="Y115" s="1507"/>
      <c r="Z115" s="1507"/>
      <c r="AA115" s="1507"/>
      <c r="AB115" s="1507"/>
      <c r="AC115" s="1507"/>
      <c r="AD115" s="1507"/>
      <c r="AE115" s="1507"/>
      <c r="AF115" s="1507"/>
      <c r="AG115" s="1507"/>
    </row>
    <row r="116" spans="1:33" s="1117" customFormat="1" ht="18.75" hidden="1">
      <c r="A116" s="1393"/>
      <c r="B116" s="1393"/>
      <c r="C116" s="1393"/>
      <c r="D116" s="1672"/>
      <c r="E116" s="1266"/>
      <c r="F116" s="1408"/>
      <c r="G116" s="1409"/>
      <c r="H116" s="1410"/>
      <c r="I116" s="1411"/>
      <c r="J116" s="1116"/>
      <c r="K116" s="72"/>
      <c r="M116" s="1149"/>
    </row>
    <row r="117" spans="1:33" s="1117" customFormat="1" ht="18.75" hidden="1">
      <c r="A117" s="1393"/>
      <c r="B117" s="1393"/>
      <c r="C117" s="1393"/>
      <c r="D117" s="1673"/>
      <c r="E117" s="1266"/>
      <c r="F117" s="1408"/>
      <c r="G117" s="1409"/>
      <c r="H117" s="1410"/>
      <c r="I117" s="1411"/>
      <c r="J117" s="1116"/>
      <c r="K117" s="72"/>
      <c r="M117" s="1149"/>
    </row>
    <row r="118" spans="1:33" s="494" customFormat="1" ht="54.75" customHeight="1">
      <c r="A118" s="1337" t="s">
        <v>748</v>
      </c>
      <c r="B118" s="1338" t="s">
        <v>749</v>
      </c>
      <c r="C118" s="1338" t="s">
        <v>278</v>
      </c>
      <c r="D118" s="38" t="s">
        <v>750</v>
      </c>
      <c r="E118" s="1271" t="s">
        <v>1946</v>
      </c>
      <c r="F118" s="1372"/>
      <c r="G118" s="892"/>
      <c r="H118" s="1272">
        <v>422068</v>
      </c>
      <c r="I118" s="892"/>
      <c r="J118" s="1526"/>
      <c r="K118" s="1518">
        <f t="shared" si="4"/>
        <v>422068</v>
      </c>
      <c r="L118" s="1527"/>
      <c r="M118" s="1518">
        <f t="shared" si="5"/>
        <v>422068</v>
      </c>
      <c r="N118" s="1527"/>
      <c r="O118" s="1527"/>
      <c r="P118" s="1527"/>
      <c r="Q118" s="1527"/>
      <c r="R118" s="1527"/>
      <c r="S118" s="1527"/>
      <c r="T118" s="1527"/>
      <c r="U118" s="1527"/>
      <c r="V118" s="1527"/>
      <c r="W118" s="1527"/>
      <c r="X118" s="1527"/>
      <c r="Y118" s="1527"/>
      <c r="Z118" s="1527"/>
      <c r="AA118" s="1527"/>
      <c r="AB118" s="1527"/>
      <c r="AC118" s="1527"/>
      <c r="AD118" s="1527"/>
      <c r="AE118" s="1527"/>
      <c r="AF118" s="1527"/>
      <c r="AG118" s="1527"/>
    </row>
    <row r="119" spans="1:33" ht="15.6" hidden="1" customHeight="1">
      <c r="A119" s="943">
        <v>1617325</v>
      </c>
      <c r="B119" s="1112">
        <v>7325</v>
      </c>
      <c r="C119" s="1112" t="s">
        <v>521</v>
      </c>
      <c r="D119" s="1113" t="s">
        <v>790</v>
      </c>
      <c r="E119" s="498" t="s">
        <v>791</v>
      </c>
      <c r="F119" s="498"/>
      <c r="G119" s="893">
        <f>434000-434000</f>
        <v>0</v>
      </c>
      <c r="H119" s="889">
        <f>434000-434000</f>
        <v>0</v>
      </c>
      <c r="I119" s="937"/>
      <c r="J119" s="937"/>
      <c r="K119" s="72">
        <f t="shared" si="4"/>
        <v>0</v>
      </c>
      <c r="M119" s="1149">
        <f t="shared" si="5"/>
        <v>0</v>
      </c>
    </row>
    <row r="120" spans="1:33" ht="36" hidden="1" customHeight="1">
      <c r="A120" s="1122"/>
      <c r="B120" s="1124"/>
      <c r="C120" s="1124"/>
      <c r="D120" s="1114"/>
      <c r="E120" s="467" t="s">
        <v>944</v>
      </c>
      <c r="F120" s="467"/>
      <c r="G120" s="889"/>
      <c r="H120" s="889"/>
      <c r="I120" s="937"/>
      <c r="J120" s="937"/>
      <c r="K120" s="72">
        <f t="shared" si="4"/>
        <v>0</v>
      </c>
      <c r="M120" s="1149">
        <f t="shared" si="5"/>
        <v>0</v>
      </c>
    </row>
    <row r="121" spans="1:33" s="303" customFormat="1" ht="18" hidden="1" customHeight="1">
      <c r="A121" s="905"/>
      <c r="B121" s="905"/>
      <c r="C121" s="905"/>
      <c r="D121" s="903"/>
      <c r="E121" s="490" t="s">
        <v>853</v>
      </c>
      <c r="F121" s="490"/>
      <c r="G121" s="737"/>
      <c r="H121" s="737"/>
      <c r="I121" s="938"/>
      <c r="J121" s="938"/>
      <c r="K121" s="72">
        <f t="shared" si="4"/>
        <v>0</v>
      </c>
      <c r="M121" s="1149">
        <f t="shared" si="5"/>
        <v>0</v>
      </c>
    </row>
    <row r="122" spans="1:33" s="303" customFormat="1" ht="36" hidden="1" customHeight="1">
      <c r="A122" s="905"/>
      <c r="B122" s="905"/>
      <c r="C122" s="905"/>
      <c r="D122" s="903"/>
      <c r="E122" s="490" t="s">
        <v>921</v>
      </c>
      <c r="F122" s="490"/>
      <c r="G122" s="737"/>
      <c r="H122" s="737"/>
      <c r="I122" s="938"/>
      <c r="J122" s="938"/>
      <c r="K122" s="72">
        <f t="shared" si="4"/>
        <v>0</v>
      </c>
      <c r="M122" s="1149">
        <f t="shared" si="5"/>
        <v>0</v>
      </c>
    </row>
    <row r="123" spans="1:33" s="303" customFormat="1" ht="18" hidden="1" customHeight="1">
      <c r="A123" s="905"/>
      <c r="B123" s="905"/>
      <c r="C123" s="905"/>
      <c r="D123" s="903"/>
      <c r="E123" s="539"/>
      <c r="F123" s="539"/>
      <c r="G123" s="890"/>
      <c r="H123" s="890">
        <f>1850329-1850329</f>
        <v>0</v>
      </c>
      <c r="I123" s="939"/>
      <c r="J123" s="939"/>
      <c r="K123" s="72">
        <f t="shared" si="4"/>
        <v>0</v>
      </c>
      <c r="M123" s="1149">
        <f t="shared" si="5"/>
        <v>0</v>
      </c>
    </row>
    <row r="124" spans="1:33" s="303" customFormat="1" ht="18" hidden="1" customHeight="1">
      <c r="A124" s="905"/>
      <c r="B124" s="905"/>
      <c r="C124" s="905"/>
      <c r="D124" s="903"/>
      <c r="E124" s="531"/>
      <c r="F124" s="531"/>
      <c r="G124" s="790"/>
      <c r="H124" s="790"/>
      <c r="I124" s="940"/>
      <c r="J124" s="940"/>
      <c r="K124" s="72">
        <f t="shared" si="4"/>
        <v>0</v>
      </c>
      <c r="M124" s="1149">
        <f t="shared" si="5"/>
        <v>0</v>
      </c>
    </row>
    <row r="125" spans="1:33" s="303" customFormat="1" ht="18" hidden="1" customHeight="1">
      <c r="A125" s="905"/>
      <c r="B125" s="905"/>
      <c r="C125" s="905"/>
      <c r="D125" s="903"/>
      <c r="E125" s="531"/>
      <c r="F125" s="531"/>
      <c r="G125" s="790"/>
      <c r="H125" s="790"/>
      <c r="I125" s="940"/>
      <c r="J125" s="940"/>
      <c r="K125" s="72">
        <f t="shared" si="4"/>
        <v>0</v>
      </c>
      <c r="M125" s="1149">
        <f t="shared" si="5"/>
        <v>0</v>
      </c>
    </row>
    <row r="126" spans="1:33" s="303" customFormat="1" ht="18" hidden="1" customHeight="1">
      <c r="A126" s="905"/>
      <c r="B126" s="905"/>
      <c r="C126" s="905"/>
      <c r="D126" s="903"/>
      <c r="E126" s="539"/>
      <c r="F126" s="539"/>
      <c r="G126" s="790"/>
      <c r="H126" s="790"/>
      <c r="I126" s="940"/>
      <c r="J126" s="940"/>
      <c r="K126" s="72">
        <f t="shared" si="4"/>
        <v>0</v>
      </c>
      <c r="M126" s="1149">
        <f t="shared" si="5"/>
        <v>0</v>
      </c>
    </row>
    <row r="127" spans="1:33" s="789" customFormat="1" ht="18" hidden="1" customHeight="1">
      <c r="A127" s="1123"/>
      <c r="B127" s="1123"/>
      <c r="C127" s="1123"/>
      <c r="D127" s="1125"/>
      <c r="E127" s="788"/>
      <c r="F127" s="788"/>
      <c r="G127" s="891"/>
      <c r="H127" s="891"/>
      <c r="I127" s="941"/>
      <c r="J127" s="941"/>
      <c r="K127" s="72">
        <f t="shared" si="4"/>
        <v>0</v>
      </c>
      <c r="M127" s="1149">
        <f t="shared" si="5"/>
        <v>0</v>
      </c>
    </row>
    <row r="128" spans="1:33" ht="47.25" hidden="1">
      <c r="A128" s="1121" t="s">
        <v>591</v>
      </c>
      <c r="B128" s="287"/>
      <c r="C128" s="287"/>
      <c r="D128" s="286" t="s">
        <v>328</v>
      </c>
      <c r="E128" s="287"/>
      <c r="F128" s="287"/>
      <c r="G128" s="320"/>
      <c r="H128" s="320">
        <f>H129</f>
        <v>0</v>
      </c>
      <c r="I128" s="320"/>
      <c r="J128" s="936"/>
      <c r="K128" s="72">
        <f t="shared" si="4"/>
        <v>0</v>
      </c>
      <c r="M128" s="1149">
        <f t="shared" si="5"/>
        <v>0</v>
      </c>
    </row>
    <row r="129" spans="1:33" ht="47.25" hidden="1">
      <c r="A129" s="287" t="s">
        <v>592</v>
      </c>
      <c r="B129" s="287"/>
      <c r="C129" s="287"/>
      <c r="D129" s="286" t="s">
        <v>328</v>
      </c>
      <c r="E129" s="287"/>
      <c r="F129" s="287"/>
      <c r="G129" s="320"/>
      <c r="H129" s="320">
        <f>H130+H131+H132+H133+H134+H135+H136+H137</f>
        <v>0</v>
      </c>
      <c r="I129" s="320"/>
      <c r="J129" s="936"/>
      <c r="K129" s="72">
        <f t="shared" si="4"/>
        <v>0</v>
      </c>
      <c r="M129" s="1149">
        <f t="shared" si="5"/>
        <v>0</v>
      </c>
    </row>
    <row r="130" spans="1:33" s="489" customFormat="1" ht="18.75" hidden="1" customHeight="1">
      <c r="A130" s="946">
        <v>2818313</v>
      </c>
      <c r="B130" s="946">
        <v>8313</v>
      </c>
      <c r="C130" s="946" t="s">
        <v>375</v>
      </c>
      <c r="D130" s="944" t="s">
        <v>191</v>
      </c>
      <c r="E130" s="491" t="s">
        <v>855</v>
      </c>
      <c r="F130" s="491"/>
      <c r="G130" s="737"/>
      <c r="H130" s="737"/>
      <c r="I130" s="737"/>
      <c r="J130" s="938"/>
      <c r="K130" s="72">
        <f t="shared" si="4"/>
        <v>0</v>
      </c>
      <c r="M130" s="1149">
        <f t="shared" si="5"/>
        <v>0</v>
      </c>
    </row>
    <row r="131" spans="1:33" s="489" customFormat="1" ht="37.5" hidden="1">
      <c r="A131" s="947"/>
      <c r="B131" s="947"/>
      <c r="C131" s="947"/>
      <c r="D131" s="945"/>
      <c r="E131" s="491" t="s">
        <v>856</v>
      </c>
      <c r="F131" s="491"/>
      <c r="G131" s="737"/>
      <c r="H131" s="737"/>
      <c r="I131" s="737"/>
      <c r="J131" s="938"/>
      <c r="K131" s="72">
        <f t="shared" si="4"/>
        <v>0</v>
      </c>
      <c r="M131" s="1149">
        <f t="shared" si="5"/>
        <v>0</v>
      </c>
    </row>
    <row r="132" spans="1:33" s="489" customFormat="1" ht="56.25" hidden="1">
      <c r="A132" s="947"/>
      <c r="B132" s="947"/>
      <c r="C132" s="947"/>
      <c r="D132" s="945"/>
      <c r="E132" s="491" t="s">
        <v>857</v>
      </c>
      <c r="F132" s="491"/>
      <c r="G132" s="737"/>
      <c r="H132" s="737"/>
      <c r="I132" s="737"/>
      <c r="J132" s="938"/>
      <c r="K132" s="72">
        <f t="shared" si="4"/>
        <v>0</v>
      </c>
      <c r="M132" s="1149">
        <f t="shared" si="5"/>
        <v>0</v>
      </c>
    </row>
    <row r="133" spans="1:33" s="489" customFormat="1" ht="37.5" hidden="1">
      <c r="A133" s="947"/>
      <c r="B133" s="947"/>
      <c r="C133" s="947"/>
      <c r="D133" s="945"/>
      <c r="E133" s="491" t="s">
        <v>858</v>
      </c>
      <c r="F133" s="491"/>
      <c r="G133" s="737"/>
      <c r="H133" s="737"/>
      <c r="I133" s="737"/>
      <c r="J133" s="938"/>
      <c r="K133" s="72">
        <f t="shared" si="4"/>
        <v>0</v>
      </c>
      <c r="M133" s="1149">
        <f t="shared" si="5"/>
        <v>0</v>
      </c>
    </row>
    <row r="134" spans="1:33" s="489" customFormat="1" ht="37.5" hidden="1">
      <c r="A134" s="947"/>
      <c r="B134" s="947"/>
      <c r="C134" s="947"/>
      <c r="D134" s="945"/>
      <c r="E134" s="491" t="s">
        <v>859</v>
      </c>
      <c r="F134" s="491"/>
      <c r="G134" s="737"/>
      <c r="H134" s="737"/>
      <c r="I134" s="737"/>
      <c r="J134" s="938"/>
      <c r="K134" s="72">
        <f t="shared" si="4"/>
        <v>0</v>
      </c>
      <c r="M134" s="1149">
        <f t="shared" si="5"/>
        <v>0</v>
      </c>
    </row>
    <row r="135" spans="1:33" s="489" customFormat="1" ht="37.5" hidden="1">
      <c r="A135" s="947"/>
      <c r="B135" s="947"/>
      <c r="C135" s="947"/>
      <c r="D135" s="945"/>
      <c r="E135" s="491" t="s">
        <v>860</v>
      </c>
      <c r="F135" s="491"/>
      <c r="G135" s="737"/>
      <c r="H135" s="737"/>
      <c r="I135" s="737"/>
      <c r="J135" s="938"/>
      <c r="K135" s="72">
        <f t="shared" si="4"/>
        <v>0</v>
      </c>
      <c r="M135" s="1149">
        <f t="shared" si="5"/>
        <v>0</v>
      </c>
    </row>
    <row r="136" spans="1:33" s="489" customFormat="1" ht="56.25" hidden="1">
      <c r="A136" s="947"/>
      <c r="B136" s="947"/>
      <c r="C136" s="947"/>
      <c r="D136" s="945"/>
      <c r="E136" s="491" t="s">
        <v>861</v>
      </c>
      <c r="F136" s="491"/>
      <c r="G136" s="737"/>
      <c r="H136" s="737"/>
      <c r="I136" s="737"/>
      <c r="J136" s="938"/>
      <c r="K136" s="72">
        <f t="shared" si="4"/>
        <v>0</v>
      </c>
      <c r="M136" s="1149">
        <f t="shared" si="5"/>
        <v>0</v>
      </c>
    </row>
    <row r="137" spans="1:33" s="489" customFormat="1" ht="37.5" hidden="1">
      <c r="A137" s="948"/>
      <c r="B137" s="948"/>
      <c r="C137" s="948"/>
      <c r="D137" s="906"/>
      <c r="E137" s="637" t="s">
        <v>939</v>
      </c>
      <c r="F137" s="637"/>
      <c r="G137" s="892"/>
      <c r="H137" s="892"/>
      <c r="I137" s="892"/>
      <c r="J137" s="942"/>
      <c r="K137" s="72">
        <f t="shared" si="4"/>
        <v>0</v>
      </c>
      <c r="M137" s="1149">
        <f t="shared" si="5"/>
        <v>0</v>
      </c>
    </row>
    <row r="138" spans="1:33" s="954" customFormat="1" ht="18.75">
      <c r="A138" s="951" t="s">
        <v>994</v>
      </c>
      <c r="B138" s="951" t="s">
        <v>994</v>
      </c>
      <c r="C138" s="951" t="s">
        <v>994</v>
      </c>
      <c r="D138" s="955" t="s">
        <v>1004</v>
      </c>
      <c r="E138" s="952" t="s">
        <v>994</v>
      </c>
      <c r="F138" s="952" t="s">
        <v>994</v>
      </c>
      <c r="G138" s="953" t="s">
        <v>994</v>
      </c>
      <c r="H138" s="588">
        <f>H16+H10+H128+H13</f>
        <v>213385262</v>
      </c>
      <c r="I138" s="953" t="s">
        <v>994</v>
      </c>
      <c r="J138" s="1528"/>
      <c r="K138" s="1515">
        <f>SUM(G138:H138)</f>
        <v>213385262</v>
      </c>
      <c r="L138" s="1529"/>
      <c r="M138" s="1529"/>
      <c r="N138" s="1529"/>
      <c r="O138" s="1529"/>
      <c r="P138" s="1529"/>
      <c r="Q138" s="1529"/>
      <c r="R138" s="1529"/>
      <c r="S138" s="1529"/>
      <c r="T138" s="1529"/>
      <c r="U138" s="1529"/>
      <c r="V138" s="1529"/>
      <c r="W138" s="1529"/>
      <c r="X138" s="1529"/>
      <c r="Y138" s="1529"/>
      <c r="Z138" s="1529"/>
      <c r="AA138" s="1529"/>
      <c r="AB138" s="1529"/>
      <c r="AC138" s="1529"/>
      <c r="AD138" s="1529"/>
      <c r="AE138" s="1529"/>
      <c r="AF138" s="1529"/>
      <c r="AG138" s="1529"/>
    </row>
    <row r="139" spans="1:33" ht="18.75">
      <c r="A139" s="949"/>
      <c r="B139" s="949"/>
      <c r="C139" s="949"/>
      <c r="D139" s="949"/>
      <c r="E139" s="950"/>
      <c r="F139" s="950"/>
      <c r="G139" s="942"/>
      <c r="H139" s="942"/>
      <c r="I139" s="942"/>
      <c r="J139" s="1530"/>
      <c r="K139" s="1518">
        <v>1</v>
      </c>
      <c r="L139" s="1507"/>
      <c r="M139" s="1507"/>
      <c r="N139" s="1507"/>
      <c r="O139" s="1507"/>
      <c r="P139" s="1507"/>
      <c r="Q139" s="1507"/>
      <c r="R139" s="1507"/>
      <c r="S139" s="1507"/>
      <c r="T139" s="1507"/>
      <c r="U139" s="1507"/>
      <c r="V139" s="1507"/>
      <c r="W139" s="1507"/>
      <c r="X139" s="1507"/>
      <c r="Y139" s="1507"/>
      <c r="Z139" s="1507"/>
      <c r="AA139" s="1507"/>
      <c r="AB139" s="1507"/>
      <c r="AC139" s="1507"/>
      <c r="AD139" s="1507"/>
      <c r="AE139" s="1507"/>
      <c r="AF139" s="1507"/>
      <c r="AG139" s="1507"/>
    </row>
    <row r="140" spans="1:33" ht="18.75">
      <c r="A140" s="949"/>
      <c r="B140" s="949"/>
      <c r="C140" s="949"/>
      <c r="D140" s="949"/>
      <c r="E140" s="950"/>
      <c r="F140" s="950"/>
      <c r="G140" s="942"/>
      <c r="H140" s="942"/>
      <c r="I140" s="942"/>
      <c r="J140" s="1530"/>
      <c r="K140" s="1518">
        <v>1</v>
      </c>
      <c r="L140" s="1507"/>
      <c r="M140" s="1507"/>
      <c r="N140" s="1507"/>
      <c r="O140" s="1507"/>
      <c r="P140" s="1507"/>
      <c r="Q140" s="1507"/>
      <c r="R140" s="1507"/>
      <c r="S140" s="1507"/>
      <c r="T140" s="1507"/>
      <c r="U140" s="1507"/>
      <c r="V140" s="1507"/>
      <c r="W140" s="1507"/>
      <c r="X140" s="1507"/>
      <c r="Y140" s="1507"/>
      <c r="Z140" s="1507"/>
      <c r="AA140" s="1507"/>
      <c r="AB140" s="1507"/>
      <c r="AC140" s="1507"/>
      <c r="AD140" s="1507"/>
      <c r="AE140" s="1507"/>
      <c r="AF140" s="1507"/>
      <c r="AG140" s="1507"/>
    </row>
    <row r="141" spans="1:33" ht="18.75">
      <c r="A141" s="949"/>
      <c r="B141" s="949"/>
      <c r="C141" s="949"/>
      <c r="D141" s="949"/>
      <c r="E141" s="950"/>
      <c r="F141" s="950"/>
      <c r="G141" s="942"/>
      <c r="H141" s="942"/>
      <c r="I141" s="942"/>
      <c r="J141" s="1530"/>
      <c r="K141" s="1518">
        <v>1</v>
      </c>
      <c r="L141" s="1507"/>
      <c r="M141" s="1507"/>
      <c r="N141" s="1507"/>
      <c r="O141" s="1507"/>
      <c r="P141" s="1507"/>
      <c r="Q141" s="1507"/>
      <c r="R141" s="1507"/>
      <c r="S141" s="1507"/>
      <c r="T141" s="1507"/>
      <c r="U141" s="1507"/>
      <c r="V141" s="1507"/>
      <c r="W141" s="1507"/>
      <c r="X141" s="1507"/>
      <c r="Y141" s="1507"/>
      <c r="Z141" s="1507"/>
      <c r="AA141" s="1507"/>
      <c r="AB141" s="1507"/>
      <c r="AC141" s="1507"/>
      <c r="AD141" s="1507"/>
      <c r="AE141" s="1507"/>
      <c r="AF141" s="1507"/>
      <c r="AG141" s="1507"/>
    </row>
    <row r="142" spans="1:33" s="17" customFormat="1" ht="20.25">
      <c r="A142" s="163"/>
      <c r="B142" s="163" t="s">
        <v>211</v>
      </c>
      <c r="C142" s="163"/>
      <c r="D142" s="163"/>
      <c r="E142" s="167"/>
      <c r="F142" s="167"/>
      <c r="G142" s="168"/>
      <c r="H142" s="163" t="s">
        <v>212</v>
      </c>
      <c r="I142" s="8"/>
      <c r="J142" s="1501"/>
      <c r="K142" s="1501">
        <v>1</v>
      </c>
      <c r="L142" s="1501"/>
      <c r="M142" s="1531"/>
      <c r="N142" s="1501"/>
      <c r="O142" s="1532"/>
      <c r="P142" s="1448"/>
      <c r="Q142" s="1448"/>
      <c r="R142" s="1448"/>
      <c r="S142" s="1448"/>
      <c r="T142" s="1448"/>
      <c r="U142" s="1448"/>
      <c r="V142" s="1448"/>
      <c r="W142" s="1448"/>
      <c r="X142" s="1448"/>
      <c r="Y142" s="1448"/>
      <c r="Z142" s="1448"/>
      <c r="AA142" s="1448"/>
      <c r="AB142" s="1448"/>
      <c r="AC142" s="1448"/>
      <c r="AD142" s="1448"/>
      <c r="AE142" s="1448"/>
      <c r="AF142" s="1448"/>
      <c r="AG142" s="1448"/>
    </row>
    <row r="143" spans="1:33" ht="15" hidden="1" customHeight="1">
      <c r="A143" s="31"/>
      <c r="B143" s="31"/>
      <c r="C143" s="31"/>
      <c r="D143" s="31"/>
      <c r="E143" s="31"/>
      <c r="F143" s="31"/>
      <c r="G143" s="31"/>
      <c r="H143" s="31"/>
      <c r="I143" s="31"/>
      <c r="J143" s="31"/>
    </row>
    <row r="144" spans="1:33" s="73" customFormat="1" ht="15" hidden="1" customHeight="1">
      <c r="A144" s="305"/>
      <c r="B144" s="305"/>
      <c r="C144" s="305"/>
      <c r="D144" s="305" t="s">
        <v>94</v>
      </c>
      <c r="E144" s="305"/>
      <c r="F144" s="305"/>
      <c r="G144" s="305"/>
      <c r="H144" s="306">
        <f>H11+H17+H129+H14</f>
        <v>213385262</v>
      </c>
      <c r="I144" s="306"/>
      <c r="J144" s="306"/>
    </row>
    <row r="145" spans="1:10" ht="17.45" hidden="1" customHeight="1">
      <c r="A145" s="25"/>
      <c r="B145" s="25"/>
      <c r="C145" s="25"/>
      <c r="D145" s="311"/>
      <c r="E145" s="311"/>
      <c r="F145" s="311"/>
      <c r="G145" s="311"/>
      <c r="H145" s="312">
        <f>H138-H144</f>
        <v>0</v>
      </c>
      <c r="I145" s="312"/>
      <c r="J145" s="312"/>
    </row>
    <row r="146" spans="1:10" ht="17.45" hidden="1" customHeight="1">
      <c r="A146" s="65"/>
      <c r="B146" s="65"/>
      <c r="C146" s="65"/>
      <c r="D146" s="65"/>
      <c r="E146" s="65"/>
      <c r="F146" s="65"/>
      <c r="G146" s="25"/>
      <c r="H146" s="25"/>
      <c r="I146" s="25"/>
      <c r="J146" s="25"/>
    </row>
    <row r="147" spans="1:10" ht="17.45" hidden="1" customHeight="1">
      <c r="A147" s="65"/>
      <c r="B147" s="65"/>
      <c r="C147" s="65"/>
      <c r="D147" s="65"/>
      <c r="E147" s="65"/>
      <c r="F147" s="65"/>
      <c r="G147" s="25"/>
      <c r="H147" s="25"/>
      <c r="I147" s="25"/>
      <c r="J147" s="25"/>
    </row>
    <row r="148" spans="1:10" ht="17.45" hidden="1" customHeight="1">
      <c r="A148" s="65"/>
      <c r="B148" s="65"/>
      <c r="C148" s="65"/>
      <c r="D148" s="65"/>
      <c r="E148" s="65"/>
      <c r="F148" s="65"/>
      <c r="G148" s="25"/>
      <c r="H148" s="25"/>
      <c r="I148" s="25"/>
      <c r="J148" s="25"/>
    </row>
    <row r="149" spans="1:10" ht="17.45" hidden="1" customHeight="1">
      <c r="A149" s="65"/>
      <c r="B149" s="65"/>
      <c r="C149" s="65"/>
      <c r="D149" s="65"/>
      <c r="E149" s="65"/>
      <c r="F149" s="65"/>
      <c r="G149" s="25"/>
      <c r="H149" s="25"/>
      <c r="I149" s="25"/>
      <c r="J149" s="25"/>
    </row>
    <row r="150" spans="1:10" ht="17.45" hidden="1" customHeight="1">
      <c r="A150" s="65"/>
      <c r="B150" s="65"/>
      <c r="C150" s="65"/>
      <c r="D150" s="65"/>
      <c r="E150" s="65"/>
      <c r="F150" s="65"/>
      <c r="G150" s="25"/>
      <c r="H150" s="25"/>
      <c r="I150" s="25"/>
      <c r="J150" s="25"/>
    </row>
    <row r="151" spans="1:10" ht="17.45" hidden="1" customHeight="1">
      <c r="A151" s="65"/>
      <c r="B151" s="65"/>
      <c r="C151" s="65"/>
      <c r="D151" s="65"/>
      <c r="E151" s="65"/>
      <c r="F151" s="65"/>
      <c r="G151" s="25"/>
      <c r="H151" s="25"/>
      <c r="I151" s="25"/>
      <c r="J151" s="25"/>
    </row>
    <row r="152" spans="1:10" ht="17.45" hidden="1" customHeight="1">
      <c r="A152" s="65"/>
      <c r="B152" s="65"/>
      <c r="C152" s="65"/>
      <c r="D152" s="65"/>
      <c r="E152" s="65"/>
      <c r="F152" s="65"/>
      <c r="G152" s="25"/>
      <c r="H152" s="25"/>
      <c r="I152" s="25"/>
      <c r="J152" s="25"/>
    </row>
    <row r="153" spans="1:10" ht="17.45" hidden="1" customHeight="1">
      <c r="A153" s="65"/>
      <c r="B153" s="65"/>
      <c r="C153" s="65"/>
      <c r="D153" s="65"/>
      <c r="E153" s="65"/>
      <c r="F153" s="65"/>
      <c r="G153" s="25"/>
      <c r="H153" s="25"/>
      <c r="I153" s="25"/>
      <c r="J153" s="25"/>
    </row>
    <row r="154" spans="1:10" ht="17.45" hidden="1" customHeight="1">
      <c r="A154" s="65"/>
      <c r="B154" s="65"/>
      <c r="C154" s="65"/>
      <c r="D154" s="65"/>
      <c r="E154" s="65"/>
      <c r="F154" s="65"/>
      <c r="G154" s="25"/>
      <c r="H154" s="25"/>
      <c r="I154" s="25"/>
      <c r="J154" s="25"/>
    </row>
    <row r="155" spans="1:10" ht="17.45" hidden="1" customHeight="1">
      <c r="A155" s="65"/>
      <c r="B155" s="65"/>
      <c r="C155" s="65"/>
      <c r="D155" s="65"/>
      <c r="E155" s="65"/>
      <c r="F155" s="65"/>
      <c r="G155" s="25"/>
      <c r="H155" s="25"/>
      <c r="I155" s="25"/>
      <c r="J155" s="25"/>
    </row>
    <row r="156" spans="1:10" ht="17.45" hidden="1" customHeight="1">
      <c r="A156" s="65"/>
      <c r="B156" s="65"/>
      <c r="C156" s="65"/>
      <c r="D156" s="65"/>
      <c r="E156" s="65"/>
      <c r="F156" s="65"/>
      <c r="G156" s="25"/>
      <c r="H156" s="25"/>
      <c r="I156" s="25"/>
      <c r="J156" s="25"/>
    </row>
    <row r="157" spans="1:10" ht="17.45" hidden="1" customHeight="1">
      <c r="A157" s="65"/>
      <c r="B157" s="65"/>
      <c r="C157" s="65"/>
      <c r="D157" s="65"/>
      <c r="E157" s="65"/>
      <c r="F157" s="65"/>
      <c r="G157" s="25"/>
      <c r="H157" s="25"/>
      <c r="I157" s="25"/>
      <c r="J157" s="25"/>
    </row>
    <row r="158" spans="1:10" ht="17.45" hidden="1" customHeight="1">
      <c r="A158" s="65"/>
      <c r="B158" s="65"/>
      <c r="C158" s="65"/>
      <c r="D158" s="65"/>
      <c r="E158" s="65"/>
      <c r="F158" s="65"/>
      <c r="G158" s="25"/>
      <c r="H158" s="25"/>
      <c r="I158" s="25"/>
      <c r="J158" s="25"/>
    </row>
    <row r="159" spans="1:10" ht="17.45" hidden="1" customHeight="1">
      <c r="A159" s="65"/>
      <c r="B159" s="65"/>
      <c r="C159" s="65"/>
      <c r="D159" s="65"/>
      <c r="E159" s="65"/>
      <c r="F159" s="65"/>
      <c r="G159" s="25"/>
      <c r="H159" s="25"/>
      <c r="I159" s="25"/>
      <c r="J159" s="25"/>
    </row>
    <row r="160" spans="1:10" ht="17.45" hidden="1" customHeight="1">
      <c r="A160" s="65"/>
      <c r="B160" s="65"/>
      <c r="C160" s="65"/>
      <c r="D160" s="65"/>
      <c r="E160" s="65"/>
      <c r="F160" s="65"/>
      <c r="G160" s="25"/>
      <c r="H160" s="25"/>
      <c r="I160" s="25"/>
      <c r="J160" s="25"/>
    </row>
    <row r="161" spans="1:10" ht="17.45" hidden="1" customHeight="1">
      <c r="A161" s="65"/>
      <c r="B161" s="65"/>
      <c r="C161" s="65"/>
      <c r="D161" s="65"/>
      <c r="E161" s="65"/>
      <c r="F161" s="65"/>
      <c r="G161" s="25"/>
      <c r="H161" s="25"/>
      <c r="I161" s="25"/>
      <c r="J161" s="25"/>
    </row>
    <row r="162" spans="1:10" ht="17.45" hidden="1" customHeight="1">
      <c r="A162" s="65"/>
      <c r="B162" s="65"/>
      <c r="C162" s="65"/>
      <c r="D162" s="65"/>
      <c r="E162" s="65"/>
      <c r="F162" s="65"/>
      <c r="G162" s="25"/>
      <c r="H162" s="25"/>
      <c r="I162" s="25"/>
      <c r="J162" s="25"/>
    </row>
    <row r="163" spans="1:10" ht="17.45" hidden="1" customHeight="1">
      <c r="A163" s="65"/>
      <c r="B163" s="65"/>
      <c r="C163" s="65"/>
      <c r="D163" s="65"/>
      <c r="E163" s="65"/>
      <c r="F163" s="65"/>
      <c r="G163" s="25"/>
      <c r="H163" s="25"/>
      <c r="I163" s="25"/>
      <c r="J163" s="25"/>
    </row>
    <row r="164" spans="1:10" ht="17.45" hidden="1" customHeight="1">
      <c r="A164" s="65"/>
      <c r="B164" s="65"/>
      <c r="C164" s="65"/>
      <c r="D164" s="65"/>
      <c r="E164" s="65"/>
      <c r="F164" s="65"/>
      <c r="G164" s="25"/>
      <c r="H164" s="25"/>
      <c r="I164" s="25"/>
      <c r="J164" s="25"/>
    </row>
    <row r="165" spans="1:10" ht="17.45" hidden="1" customHeight="1">
      <c r="A165" s="65"/>
      <c r="B165" s="65"/>
      <c r="C165" s="65"/>
      <c r="D165" s="65"/>
      <c r="E165" s="65"/>
      <c r="F165" s="65"/>
      <c r="G165" s="25"/>
      <c r="H165" s="25"/>
      <c r="I165" s="25"/>
      <c r="J165" s="25"/>
    </row>
    <row r="166" spans="1:10" ht="17.45" hidden="1" customHeight="1">
      <c r="A166" s="65"/>
      <c r="B166" s="65"/>
      <c r="C166" s="65"/>
      <c r="D166" s="65"/>
      <c r="E166" s="65"/>
      <c r="F166" s="65"/>
      <c r="G166" s="25"/>
      <c r="H166" s="25"/>
      <c r="I166" s="25"/>
      <c r="J166" s="25"/>
    </row>
    <row r="167" spans="1:10" ht="17.45" hidden="1" customHeight="1">
      <c r="A167" s="65"/>
      <c r="B167" s="65"/>
      <c r="C167" s="65"/>
      <c r="D167" s="65"/>
      <c r="E167" s="65"/>
      <c r="F167" s="65"/>
      <c r="G167" s="25"/>
      <c r="H167" s="25"/>
      <c r="I167" s="25"/>
      <c r="J167" s="25"/>
    </row>
    <row r="168" spans="1:10" ht="17.45" hidden="1" customHeight="1">
      <c r="A168" s="65"/>
      <c r="B168" s="65"/>
      <c r="C168" s="65"/>
      <c r="D168" s="65"/>
      <c r="E168" s="65"/>
      <c r="F168" s="65"/>
      <c r="G168" s="25"/>
      <c r="H168" s="25"/>
      <c r="I168" s="25"/>
      <c r="J168" s="25"/>
    </row>
    <row r="169" spans="1:10" ht="17.45" hidden="1" customHeight="1">
      <c r="A169" s="65"/>
      <c r="B169" s="65"/>
      <c r="C169" s="65"/>
      <c r="D169" s="65"/>
      <c r="E169" s="65"/>
      <c r="F169" s="65"/>
      <c r="G169" s="25"/>
      <c r="H169" s="25"/>
      <c r="I169" s="25"/>
      <c r="J169" s="25"/>
    </row>
    <row r="170" spans="1:10" ht="17.45" hidden="1" customHeight="1">
      <c r="A170" s="65"/>
      <c r="B170" s="65"/>
      <c r="C170" s="65"/>
      <c r="D170" s="65"/>
      <c r="E170" s="65"/>
      <c r="F170" s="65"/>
      <c r="G170" s="25"/>
      <c r="H170" s="25"/>
      <c r="I170" s="25"/>
      <c r="J170" s="25"/>
    </row>
    <row r="171" spans="1:10" ht="13.15" hidden="1" customHeight="1">
      <c r="G171" s="2"/>
      <c r="H171" s="2"/>
      <c r="I171" s="2"/>
      <c r="J171" s="2"/>
    </row>
    <row r="172" spans="1:10" ht="13.15" hidden="1" customHeight="1">
      <c r="G172" s="2"/>
      <c r="H172" s="2"/>
      <c r="I172" s="2"/>
      <c r="J172" s="2"/>
    </row>
    <row r="173" spans="1:10" ht="13.15" hidden="1" customHeight="1">
      <c r="G173" s="2"/>
      <c r="H173" s="2"/>
      <c r="I173" s="2"/>
      <c r="J173" s="2"/>
    </row>
    <row r="174" spans="1:10" ht="13.15" hidden="1" customHeight="1">
      <c r="G174" s="2"/>
      <c r="H174" s="2"/>
      <c r="I174" s="2"/>
      <c r="J174" s="2"/>
    </row>
    <row r="175" spans="1:10" ht="13.15" hidden="1" customHeight="1">
      <c r="G175" s="2"/>
      <c r="H175" s="2"/>
      <c r="I175" s="2"/>
      <c r="J175" s="2"/>
    </row>
    <row r="176" spans="1:10" ht="13.15" hidden="1" customHeight="1">
      <c r="G176" s="2"/>
      <c r="H176" s="2"/>
      <c r="I176" s="2"/>
      <c r="J176" s="2"/>
    </row>
    <row r="177" spans="7:10" ht="13.15" hidden="1" customHeight="1">
      <c r="G177" s="2"/>
      <c r="H177" s="2"/>
      <c r="I177" s="2"/>
      <c r="J177" s="2"/>
    </row>
    <row r="178" spans="7:10" ht="13.15" hidden="1" customHeight="1">
      <c r="G178" s="2"/>
      <c r="H178" s="2"/>
      <c r="I178" s="2"/>
      <c r="J178" s="2"/>
    </row>
    <row r="179" spans="7:10" ht="13.15" hidden="1" customHeight="1">
      <c r="G179" s="2"/>
      <c r="H179" s="2"/>
      <c r="I179" s="2"/>
      <c r="J179" s="2"/>
    </row>
    <row r="180" spans="7:10" ht="13.15" hidden="1" customHeight="1">
      <c r="G180" s="2"/>
      <c r="H180" s="2"/>
      <c r="I180" s="2"/>
      <c r="J180" s="2"/>
    </row>
    <row r="181" spans="7:10" ht="13.15" hidden="1" customHeight="1">
      <c r="G181" s="2"/>
      <c r="H181" s="2"/>
      <c r="I181" s="2"/>
      <c r="J181" s="2"/>
    </row>
    <row r="182" spans="7:10" ht="13.15" hidden="1" customHeight="1">
      <c r="G182" s="2"/>
      <c r="H182" s="2"/>
      <c r="I182" s="2"/>
      <c r="J182" s="2"/>
    </row>
    <row r="183" spans="7:10" ht="13.15" hidden="1" customHeight="1">
      <c r="G183" s="2"/>
      <c r="H183" s="2"/>
      <c r="I183" s="2"/>
      <c r="J183" s="2"/>
    </row>
    <row r="184" spans="7:10" ht="13.15" hidden="1" customHeight="1">
      <c r="G184" s="2"/>
      <c r="H184" s="2"/>
      <c r="I184" s="2"/>
      <c r="J184" s="2"/>
    </row>
    <row r="185" spans="7:10" ht="13.15" hidden="1" customHeight="1">
      <c r="G185" s="2"/>
      <c r="H185" s="2"/>
      <c r="I185" s="2"/>
      <c r="J185" s="2"/>
    </row>
    <row r="186" spans="7:10" ht="13.15" hidden="1" customHeight="1">
      <c r="G186" s="2"/>
      <c r="H186" s="2"/>
      <c r="I186" s="2"/>
      <c r="J186" s="2"/>
    </row>
    <row r="187" spans="7:10" ht="13.15" hidden="1" customHeight="1">
      <c r="G187" s="2"/>
      <c r="H187" s="2"/>
      <c r="I187" s="2"/>
      <c r="J187" s="2"/>
    </row>
    <row r="188" spans="7:10" ht="13.15" hidden="1" customHeight="1">
      <c r="G188" s="2"/>
      <c r="H188" s="2"/>
      <c r="I188" s="2"/>
      <c r="J188" s="2"/>
    </row>
    <row r="189" spans="7:10" ht="13.15" hidden="1" customHeight="1">
      <c r="G189" s="2"/>
      <c r="H189" s="2"/>
      <c r="I189" s="2"/>
      <c r="J189" s="2"/>
    </row>
    <row r="190" spans="7:10" ht="13.15" hidden="1" customHeight="1">
      <c r="G190" s="2"/>
      <c r="H190" s="2"/>
      <c r="I190" s="2"/>
      <c r="J190" s="2"/>
    </row>
    <row r="191" spans="7:10" ht="13.15" hidden="1" customHeight="1">
      <c r="G191" s="2"/>
      <c r="H191" s="2"/>
      <c r="I191" s="2"/>
      <c r="J191" s="2"/>
    </row>
    <row r="192" spans="7:10" ht="13.15" hidden="1" customHeight="1">
      <c r="G192" s="2"/>
      <c r="H192" s="2"/>
      <c r="I192" s="2"/>
      <c r="J192" s="2"/>
    </row>
    <row r="193" spans="7:10" ht="13.15" hidden="1" customHeight="1">
      <c r="G193" s="2"/>
      <c r="H193" s="2"/>
      <c r="I193" s="2"/>
      <c r="J193" s="2"/>
    </row>
    <row r="194" spans="7:10" ht="13.15" hidden="1" customHeight="1">
      <c r="G194" s="2"/>
      <c r="H194" s="2"/>
      <c r="I194" s="2"/>
      <c r="J194" s="2"/>
    </row>
    <row r="195" spans="7:10" ht="13.15" hidden="1" customHeight="1">
      <c r="G195" s="2"/>
      <c r="H195" s="2"/>
      <c r="I195" s="2"/>
      <c r="J195" s="2"/>
    </row>
    <row r="196" spans="7:10" ht="13.15" hidden="1" customHeight="1">
      <c r="G196" s="2"/>
      <c r="H196" s="2"/>
      <c r="I196" s="2"/>
      <c r="J196" s="2"/>
    </row>
    <row r="197" spans="7:10" ht="13.15" hidden="1" customHeight="1">
      <c r="G197" s="2"/>
      <c r="H197" s="2"/>
      <c r="I197" s="2"/>
      <c r="J197" s="2"/>
    </row>
    <row r="198" spans="7:10" ht="13.15" hidden="1" customHeight="1">
      <c r="G198" s="2"/>
      <c r="H198" s="2"/>
      <c r="I198" s="2"/>
      <c r="J198" s="2"/>
    </row>
    <row r="199" spans="7:10" ht="13.15" hidden="1" customHeight="1">
      <c r="G199" s="2"/>
      <c r="H199" s="2"/>
      <c r="I199" s="2"/>
      <c r="J199" s="2"/>
    </row>
    <row r="200" spans="7:10" ht="13.15" hidden="1" customHeight="1">
      <c r="G200" s="2"/>
      <c r="H200" s="2"/>
      <c r="I200" s="2"/>
      <c r="J200" s="2"/>
    </row>
    <row r="201" spans="7:10" ht="13.15" hidden="1" customHeight="1">
      <c r="G201" s="2"/>
      <c r="H201" s="2"/>
      <c r="I201" s="2"/>
      <c r="J201" s="2"/>
    </row>
    <row r="202" spans="7:10" ht="13.15" hidden="1" customHeight="1">
      <c r="G202" s="2"/>
      <c r="H202" s="2"/>
      <c r="I202" s="2"/>
      <c r="J202" s="2"/>
    </row>
    <row r="203" spans="7:10" ht="13.15" hidden="1" customHeight="1">
      <c r="G203" s="2"/>
      <c r="H203" s="2"/>
      <c r="I203" s="2"/>
      <c r="J203" s="2"/>
    </row>
    <row r="204" spans="7:10" ht="13.15" hidden="1" customHeight="1">
      <c r="G204" s="2"/>
      <c r="H204" s="2"/>
      <c r="I204" s="2"/>
      <c r="J204" s="2"/>
    </row>
    <row r="205" spans="7:10" ht="13.15" hidden="1" customHeight="1">
      <c r="G205" s="2"/>
      <c r="H205" s="2"/>
      <c r="I205" s="2"/>
      <c r="J205" s="2"/>
    </row>
    <row r="206" spans="7:10" ht="13.15" hidden="1" customHeight="1">
      <c r="G206" s="2"/>
      <c r="H206" s="2"/>
      <c r="I206" s="2"/>
      <c r="J206" s="2"/>
    </row>
    <row r="207" spans="7:10" ht="13.15" hidden="1" customHeight="1">
      <c r="G207" s="2"/>
      <c r="H207" s="2"/>
      <c r="I207" s="2"/>
      <c r="J207" s="2"/>
    </row>
    <row r="208" spans="7:10" ht="13.15" hidden="1" customHeight="1">
      <c r="G208" s="2"/>
      <c r="H208" s="2"/>
      <c r="I208" s="2"/>
      <c r="J208" s="2"/>
    </row>
    <row r="209" spans="7:10" ht="13.15" hidden="1" customHeight="1">
      <c r="G209" s="2"/>
      <c r="H209" s="2"/>
      <c r="I209" s="2"/>
      <c r="J209" s="2"/>
    </row>
    <row r="210" spans="7:10" ht="13.15" hidden="1" customHeight="1">
      <c r="G210" s="2"/>
      <c r="H210" s="2"/>
      <c r="I210" s="2"/>
      <c r="J210" s="2"/>
    </row>
    <row r="211" spans="7:10" ht="13.15" hidden="1" customHeight="1">
      <c r="G211" s="2"/>
      <c r="H211" s="2"/>
      <c r="I211" s="2"/>
      <c r="J211" s="2"/>
    </row>
    <row r="212" spans="7:10" ht="13.15" hidden="1" customHeight="1">
      <c r="G212" s="2"/>
      <c r="H212" s="2"/>
      <c r="I212" s="2"/>
      <c r="J212" s="2"/>
    </row>
    <row r="213" spans="7:10" ht="13.15" hidden="1" customHeight="1">
      <c r="G213" s="2"/>
      <c r="H213" s="2"/>
      <c r="I213" s="2"/>
      <c r="J213" s="2"/>
    </row>
    <row r="214" spans="7:10" ht="13.15" hidden="1" customHeight="1">
      <c r="G214" s="2"/>
      <c r="H214" s="2"/>
      <c r="I214" s="2"/>
      <c r="J214" s="2"/>
    </row>
    <row r="215" spans="7:10" ht="13.15" hidden="1" customHeight="1">
      <c r="G215" s="2"/>
      <c r="H215" s="2"/>
      <c r="I215" s="2"/>
      <c r="J215" s="2"/>
    </row>
    <row r="216" spans="7:10" ht="13.15" hidden="1" customHeight="1">
      <c r="G216" s="2"/>
      <c r="H216" s="2"/>
      <c r="I216" s="2"/>
      <c r="J216" s="2"/>
    </row>
    <row r="217" spans="7:10" ht="13.15" hidden="1" customHeight="1">
      <c r="G217" s="2"/>
      <c r="H217" s="2"/>
      <c r="I217" s="2"/>
      <c r="J217" s="2"/>
    </row>
    <row r="218" spans="7:10" ht="13.15" hidden="1" customHeight="1">
      <c r="G218" s="2"/>
      <c r="H218" s="2"/>
      <c r="I218" s="2"/>
      <c r="J218" s="2"/>
    </row>
    <row r="219" spans="7:10" ht="13.15" hidden="1" customHeight="1">
      <c r="G219" s="2"/>
      <c r="H219" s="2"/>
      <c r="I219" s="2"/>
      <c r="J219" s="2"/>
    </row>
    <row r="220" spans="7:10" ht="13.15" hidden="1" customHeight="1">
      <c r="G220" s="2"/>
      <c r="H220" s="2"/>
      <c r="I220" s="2"/>
      <c r="J220" s="2"/>
    </row>
    <row r="221" spans="7:10" ht="13.15" hidden="1" customHeight="1">
      <c r="G221" s="2"/>
      <c r="H221" s="2"/>
      <c r="I221" s="2"/>
      <c r="J221" s="2"/>
    </row>
    <row r="222" spans="7:10" ht="13.15" hidden="1" customHeight="1">
      <c r="G222" s="2"/>
      <c r="H222" s="2"/>
      <c r="I222" s="2"/>
      <c r="J222" s="2"/>
    </row>
    <row r="223" spans="7:10" ht="13.15" hidden="1" customHeight="1">
      <c r="G223" s="2"/>
      <c r="H223" s="2"/>
      <c r="I223" s="2"/>
      <c r="J223" s="2"/>
    </row>
    <row r="224" spans="7:10" ht="13.15" hidden="1" customHeight="1">
      <c r="G224" s="2"/>
      <c r="H224" s="2"/>
      <c r="I224" s="2"/>
      <c r="J224" s="2"/>
    </row>
    <row r="225" spans="7:10" ht="13.15" hidden="1" customHeight="1">
      <c r="G225" s="2"/>
      <c r="H225" s="2"/>
      <c r="I225" s="2"/>
      <c r="J225" s="2"/>
    </row>
    <row r="226" spans="7:10" ht="13.15" hidden="1" customHeight="1">
      <c r="G226" s="2"/>
      <c r="H226" s="2"/>
      <c r="I226" s="2"/>
      <c r="J226" s="2"/>
    </row>
    <row r="227" spans="7:10" ht="13.15" hidden="1" customHeight="1">
      <c r="G227" s="2"/>
      <c r="H227" s="2"/>
      <c r="I227" s="2"/>
      <c r="J227" s="2"/>
    </row>
    <row r="228" spans="7:10" ht="13.15" hidden="1" customHeight="1">
      <c r="G228" s="2"/>
      <c r="H228" s="2"/>
      <c r="I228" s="2"/>
      <c r="J228" s="2"/>
    </row>
    <row r="229" spans="7:10" ht="13.15" hidden="1" customHeight="1">
      <c r="G229" s="2"/>
      <c r="H229" s="2"/>
      <c r="I229" s="2"/>
      <c r="J229" s="2"/>
    </row>
    <row r="230" spans="7:10" ht="13.15" hidden="1" customHeight="1">
      <c r="G230" s="2"/>
      <c r="H230" s="2"/>
      <c r="I230" s="2"/>
      <c r="J230" s="2"/>
    </row>
    <row r="231" spans="7:10" ht="13.15" hidden="1" customHeight="1">
      <c r="G231" s="2"/>
      <c r="H231" s="2"/>
      <c r="I231" s="2"/>
      <c r="J231" s="2"/>
    </row>
    <row r="232" spans="7:10" ht="13.15" hidden="1" customHeight="1">
      <c r="G232" s="2"/>
      <c r="H232" s="2"/>
      <c r="I232" s="2"/>
      <c r="J232" s="2"/>
    </row>
    <row r="233" spans="7:10" ht="13.15" hidden="1" customHeight="1">
      <c r="G233" s="2"/>
      <c r="H233" s="2"/>
      <c r="I233" s="2"/>
      <c r="J233" s="2"/>
    </row>
    <row r="234" spans="7:10" ht="13.15" hidden="1" customHeight="1">
      <c r="G234" s="2"/>
      <c r="H234" s="2"/>
      <c r="I234" s="2"/>
      <c r="J234" s="2"/>
    </row>
    <row r="235" spans="7:10" ht="13.15" hidden="1" customHeight="1">
      <c r="G235" s="2"/>
      <c r="H235" s="2"/>
      <c r="I235" s="2"/>
      <c r="J235" s="2"/>
    </row>
    <row r="236" spans="7:10" ht="13.15" hidden="1" customHeight="1">
      <c r="G236" s="2"/>
      <c r="H236" s="2"/>
      <c r="I236" s="2"/>
      <c r="J236" s="2"/>
    </row>
    <row r="237" spans="7:10" ht="13.15" hidden="1" customHeight="1">
      <c r="G237" s="2"/>
      <c r="H237" s="2"/>
      <c r="I237" s="2"/>
      <c r="J237" s="2"/>
    </row>
    <row r="238" spans="7:10" ht="13.15" hidden="1" customHeight="1">
      <c r="G238" s="2"/>
      <c r="H238" s="2"/>
      <c r="I238" s="2"/>
      <c r="J238" s="2"/>
    </row>
    <row r="239" spans="7:10" ht="13.15" hidden="1" customHeight="1">
      <c r="G239" s="2"/>
      <c r="H239" s="2"/>
      <c r="I239" s="2"/>
      <c r="J239" s="2"/>
    </row>
    <row r="240" spans="7:10" ht="13.15" hidden="1" customHeight="1">
      <c r="G240" s="2"/>
      <c r="H240" s="2"/>
      <c r="I240" s="2"/>
      <c r="J240" s="2"/>
    </row>
    <row r="241" spans="7:33" ht="13.15" hidden="1" customHeight="1">
      <c r="G241" s="2"/>
      <c r="H241" s="2"/>
      <c r="I241" s="2"/>
      <c r="J241" s="2"/>
    </row>
    <row r="242" spans="7:33" ht="13.15" hidden="1" customHeight="1">
      <c r="G242" s="2"/>
      <c r="H242" s="2"/>
      <c r="I242" s="2"/>
      <c r="J242" s="2"/>
    </row>
    <row r="243" spans="7:33" ht="13.15" hidden="1" customHeight="1">
      <c r="G243" s="2"/>
      <c r="H243" s="2"/>
      <c r="I243" s="2"/>
      <c r="J243" s="2"/>
    </row>
    <row r="244" spans="7:33" ht="13.15" hidden="1" customHeight="1">
      <c r="G244" s="2"/>
      <c r="H244" s="2"/>
      <c r="I244" s="2"/>
      <c r="J244" s="2"/>
    </row>
    <row r="245" spans="7:33" ht="13.15" hidden="1" customHeight="1">
      <c r="G245" s="2"/>
      <c r="H245" s="2"/>
      <c r="I245" s="2"/>
      <c r="J245" s="2"/>
    </row>
    <row r="246" spans="7:33" ht="13.15" hidden="1" customHeight="1">
      <c r="G246" s="2"/>
      <c r="H246" s="2"/>
      <c r="I246" s="2"/>
      <c r="J246" s="2"/>
    </row>
    <row r="247" spans="7:33" ht="13.15" customHeight="1">
      <c r="G247" s="2"/>
      <c r="H247" s="2"/>
      <c r="I247" s="2"/>
      <c r="J247" s="1533"/>
      <c r="K247" s="1507"/>
      <c r="L247" s="1507"/>
      <c r="M247" s="1507"/>
      <c r="N247" s="1507"/>
      <c r="O247" s="1507"/>
      <c r="P247" s="1507"/>
      <c r="Q247" s="1507"/>
      <c r="R247" s="1507"/>
      <c r="S247" s="1507"/>
      <c r="T247" s="1507"/>
      <c r="U247" s="1507"/>
      <c r="V247" s="1507"/>
      <c r="W247" s="1507"/>
      <c r="X247" s="1507"/>
      <c r="Y247" s="1507"/>
      <c r="Z247" s="1507"/>
      <c r="AA247" s="1507"/>
      <c r="AB247" s="1507"/>
      <c r="AC247" s="1507"/>
      <c r="AD247" s="1507"/>
      <c r="AE247" s="1507"/>
      <c r="AF247" s="1507"/>
      <c r="AG247" s="1507"/>
    </row>
    <row r="248" spans="7:33" ht="13.15" customHeight="1">
      <c r="G248" s="2"/>
      <c r="H248" s="2"/>
      <c r="I248" s="2"/>
      <c r="J248" s="1533"/>
      <c r="K248" s="1507"/>
      <c r="L248" s="1507"/>
      <c r="M248" s="1507"/>
      <c r="N248" s="1507"/>
      <c r="O248" s="1507"/>
      <c r="P248" s="1507"/>
      <c r="Q248" s="1507"/>
      <c r="R248" s="1507"/>
      <c r="S248" s="1507"/>
      <c r="T248" s="1507"/>
      <c r="U248" s="1507"/>
      <c r="V248" s="1507"/>
      <c r="W248" s="1507"/>
      <c r="X248" s="1507"/>
      <c r="Y248" s="1507"/>
      <c r="Z248" s="1507"/>
      <c r="AA248" s="1507"/>
      <c r="AB248" s="1507"/>
      <c r="AC248" s="1507"/>
      <c r="AD248" s="1507"/>
      <c r="AE248" s="1507"/>
      <c r="AF248" s="1507"/>
      <c r="AG248" s="1507"/>
    </row>
    <row r="249" spans="7:33" ht="13.15" customHeight="1">
      <c r="G249" s="2"/>
      <c r="H249" s="2"/>
      <c r="I249" s="2"/>
      <c r="J249" s="1533"/>
      <c r="K249" s="1507"/>
      <c r="L249" s="1507"/>
      <c r="M249" s="1507"/>
      <c r="N249" s="1507"/>
      <c r="O249" s="1507"/>
      <c r="P249" s="1507"/>
      <c r="Q249" s="1507"/>
      <c r="R249" s="1507"/>
      <c r="S249" s="1507"/>
      <c r="T249" s="1507"/>
      <c r="U249" s="1507"/>
      <c r="V249" s="1507"/>
      <c r="W249" s="1507"/>
      <c r="X249" s="1507"/>
      <c r="Y249" s="1507"/>
      <c r="Z249" s="1507"/>
      <c r="AA249" s="1507"/>
      <c r="AB249" s="1507"/>
      <c r="AC249" s="1507"/>
      <c r="AD249" s="1507"/>
      <c r="AE249" s="1507"/>
      <c r="AF249" s="1507"/>
      <c r="AG249" s="1507"/>
    </row>
    <row r="250" spans="7:33" ht="13.15" customHeight="1">
      <c r="G250" s="2"/>
      <c r="H250" s="2"/>
      <c r="I250" s="2"/>
      <c r="J250" s="1533"/>
      <c r="K250" s="1507"/>
      <c r="L250" s="1507"/>
      <c r="M250" s="1507"/>
      <c r="N250" s="1507"/>
      <c r="O250" s="1507"/>
      <c r="P250" s="1507"/>
      <c r="Q250" s="1507"/>
      <c r="R250" s="1507"/>
      <c r="S250" s="1507"/>
      <c r="T250" s="1507"/>
      <c r="U250" s="1507"/>
      <c r="V250" s="1507"/>
      <c r="W250" s="1507"/>
      <c r="X250" s="1507"/>
      <c r="Y250" s="1507"/>
      <c r="Z250" s="1507"/>
      <c r="AA250" s="1507"/>
      <c r="AB250" s="1507"/>
      <c r="AC250" s="1507"/>
      <c r="AD250" s="1507"/>
      <c r="AE250" s="1507"/>
      <c r="AF250" s="1507"/>
      <c r="AG250" s="1507"/>
    </row>
    <row r="251" spans="7:33" ht="13.15" customHeight="1">
      <c r="G251" s="2"/>
      <c r="H251" s="2"/>
      <c r="I251" s="2"/>
      <c r="J251" s="1533"/>
      <c r="K251" s="1507"/>
      <c r="L251" s="1507"/>
      <c r="M251" s="1507"/>
      <c r="N251" s="1507"/>
      <c r="O251" s="1507"/>
      <c r="P251" s="1507"/>
      <c r="Q251" s="1507"/>
      <c r="R251" s="1507"/>
      <c r="S251" s="1507"/>
      <c r="T251" s="1507"/>
      <c r="U251" s="1507"/>
      <c r="V251" s="1507"/>
      <c r="W251" s="1507"/>
      <c r="X251" s="1507"/>
      <c r="Y251" s="1507"/>
      <c r="Z251" s="1507"/>
      <c r="AA251" s="1507"/>
      <c r="AB251" s="1507"/>
      <c r="AC251" s="1507"/>
      <c r="AD251" s="1507"/>
      <c r="AE251" s="1507"/>
      <c r="AF251" s="1507"/>
      <c r="AG251" s="1507"/>
    </row>
    <row r="252" spans="7:33" ht="13.15" customHeight="1">
      <c r="G252" s="2"/>
      <c r="H252" s="2"/>
      <c r="I252" s="2"/>
      <c r="J252" s="1533"/>
      <c r="K252" s="1507"/>
      <c r="L252" s="1507"/>
      <c r="M252" s="1507"/>
      <c r="N252" s="1507"/>
      <c r="O252" s="1507"/>
      <c r="P252" s="1507"/>
      <c r="Q252" s="1507"/>
      <c r="R252" s="1507"/>
      <c r="S252" s="1507"/>
      <c r="T252" s="1507"/>
      <c r="U252" s="1507"/>
      <c r="V252" s="1507"/>
      <c r="W252" s="1507"/>
      <c r="X252" s="1507"/>
      <c r="Y252" s="1507"/>
      <c r="Z252" s="1507"/>
      <c r="AA252" s="1507"/>
      <c r="AB252" s="1507"/>
      <c r="AC252" s="1507"/>
      <c r="AD252" s="1507"/>
      <c r="AE252" s="1507"/>
      <c r="AF252" s="1507"/>
      <c r="AG252" s="1507"/>
    </row>
    <row r="253" spans="7:33" ht="13.15" customHeight="1">
      <c r="G253" s="2"/>
      <c r="H253" s="2"/>
      <c r="I253" s="2"/>
      <c r="J253" s="1533"/>
      <c r="K253" s="1507"/>
      <c r="L253" s="1507"/>
      <c r="M253" s="1507"/>
      <c r="N253" s="1507"/>
      <c r="O253" s="1507"/>
      <c r="P253" s="1507"/>
      <c r="Q253" s="1507"/>
      <c r="R253" s="1507"/>
      <c r="S253" s="1507"/>
      <c r="T253" s="1507"/>
      <c r="U253" s="1507"/>
      <c r="V253" s="1507"/>
      <c r="W253" s="1507"/>
      <c r="X253" s="1507"/>
      <c r="Y253" s="1507"/>
      <c r="Z253" s="1507"/>
      <c r="AA253" s="1507"/>
      <c r="AB253" s="1507"/>
      <c r="AC253" s="1507"/>
      <c r="AD253" s="1507"/>
      <c r="AE253" s="1507"/>
      <c r="AF253" s="1507"/>
      <c r="AG253" s="1507"/>
    </row>
    <row r="254" spans="7:33" ht="13.15" customHeight="1">
      <c r="G254" s="2"/>
      <c r="H254" s="2"/>
      <c r="I254" s="2"/>
      <c r="J254" s="1533"/>
      <c r="K254" s="1507"/>
      <c r="L254" s="1507"/>
      <c r="M254" s="1507"/>
      <c r="N254" s="1507"/>
      <c r="O254" s="1507"/>
      <c r="P254" s="1507"/>
      <c r="Q254" s="1507"/>
      <c r="R254" s="1507"/>
      <c r="S254" s="1507"/>
      <c r="T254" s="1507"/>
      <c r="U254" s="1507"/>
      <c r="V254" s="1507"/>
      <c r="W254" s="1507"/>
      <c r="X254" s="1507"/>
      <c r="Y254" s="1507"/>
      <c r="Z254" s="1507"/>
      <c r="AA254" s="1507"/>
      <c r="AB254" s="1507"/>
      <c r="AC254" s="1507"/>
      <c r="AD254" s="1507"/>
      <c r="AE254" s="1507"/>
      <c r="AF254" s="1507"/>
      <c r="AG254" s="1507"/>
    </row>
    <row r="255" spans="7:33" ht="13.15" customHeight="1">
      <c r="G255" s="2"/>
      <c r="H255" s="2"/>
      <c r="I255" s="2"/>
      <c r="J255" s="1533"/>
      <c r="K255" s="1507"/>
      <c r="L255" s="1507"/>
      <c r="M255" s="1507"/>
      <c r="N255" s="1507"/>
      <c r="O255" s="1507"/>
      <c r="P255" s="1507"/>
      <c r="Q255" s="1507"/>
      <c r="R255" s="1507"/>
      <c r="S255" s="1507"/>
      <c r="T255" s="1507"/>
      <c r="U255" s="1507"/>
      <c r="V255" s="1507"/>
      <c r="W255" s="1507"/>
      <c r="X255" s="1507"/>
      <c r="Y255" s="1507"/>
      <c r="Z255" s="1507"/>
      <c r="AA255" s="1507"/>
      <c r="AB255" s="1507"/>
      <c r="AC255" s="1507"/>
      <c r="AD255" s="1507"/>
      <c r="AE255" s="1507"/>
      <c r="AF255" s="1507"/>
      <c r="AG255" s="1507"/>
    </row>
    <row r="256" spans="7:33" ht="13.15" customHeight="1">
      <c r="G256" s="2"/>
      <c r="H256" s="2"/>
      <c r="I256" s="2"/>
      <c r="J256" s="1533"/>
      <c r="K256" s="1507"/>
      <c r="L256" s="1507"/>
      <c r="M256" s="1507"/>
      <c r="N256" s="1507"/>
      <c r="O256" s="1507"/>
      <c r="P256" s="1507"/>
      <c r="Q256" s="1507"/>
      <c r="R256" s="1507"/>
      <c r="S256" s="1507"/>
      <c r="T256" s="1507"/>
      <c r="U256" s="1507"/>
      <c r="V256" s="1507"/>
      <c r="W256" s="1507"/>
      <c r="X256" s="1507"/>
      <c r="Y256" s="1507"/>
      <c r="Z256" s="1507"/>
      <c r="AA256" s="1507"/>
      <c r="AB256" s="1507"/>
      <c r="AC256" s="1507"/>
      <c r="AD256" s="1507"/>
      <c r="AE256" s="1507"/>
      <c r="AF256" s="1507"/>
      <c r="AG256" s="1507"/>
    </row>
    <row r="257" spans="7:33" ht="13.15" customHeight="1">
      <c r="G257" s="2"/>
      <c r="H257" s="2"/>
      <c r="I257" s="2"/>
      <c r="J257" s="1533"/>
      <c r="K257" s="1507"/>
      <c r="L257" s="1507"/>
      <c r="M257" s="1507"/>
      <c r="N257" s="1507"/>
      <c r="O257" s="1507"/>
      <c r="P257" s="1507"/>
      <c r="Q257" s="1507"/>
      <c r="R257" s="1507"/>
      <c r="S257" s="1507"/>
      <c r="T257" s="1507"/>
      <c r="U257" s="1507"/>
      <c r="V257" s="1507"/>
      <c r="W257" s="1507"/>
      <c r="X257" s="1507"/>
      <c r="Y257" s="1507"/>
      <c r="Z257" s="1507"/>
      <c r="AA257" s="1507"/>
      <c r="AB257" s="1507"/>
      <c r="AC257" s="1507"/>
      <c r="AD257" s="1507"/>
      <c r="AE257" s="1507"/>
      <c r="AF257" s="1507"/>
      <c r="AG257" s="1507"/>
    </row>
    <row r="258" spans="7:33" ht="13.15" customHeight="1">
      <c r="G258" s="2"/>
      <c r="H258" s="2"/>
      <c r="I258" s="2"/>
      <c r="J258" s="1533"/>
      <c r="K258" s="1507"/>
      <c r="L258" s="1507"/>
      <c r="M258" s="1507"/>
      <c r="N258" s="1507"/>
      <c r="O258" s="1507"/>
      <c r="P258" s="1507"/>
      <c r="Q258" s="1507"/>
      <c r="R258" s="1507"/>
      <c r="S258" s="1507"/>
      <c r="T258" s="1507"/>
      <c r="U258" s="1507"/>
      <c r="V258" s="1507"/>
      <c r="W258" s="1507"/>
      <c r="X258" s="1507"/>
      <c r="Y258" s="1507"/>
      <c r="Z258" s="1507"/>
      <c r="AA258" s="1507"/>
      <c r="AB258" s="1507"/>
      <c r="AC258" s="1507"/>
      <c r="AD258" s="1507"/>
      <c r="AE258" s="1507"/>
      <c r="AF258" s="1507"/>
      <c r="AG258" s="1507"/>
    </row>
    <row r="259" spans="7:33" ht="13.15" customHeight="1">
      <c r="G259" s="2"/>
      <c r="H259" s="2"/>
      <c r="I259" s="2"/>
      <c r="J259" s="1533"/>
      <c r="K259" s="1507"/>
      <c r="L259" s="1507"/>
      <c r="M259" s="1507"/>
      <c r="N259" s="1507"/>
      <c r="O259" s="1507"/>
      <c r="P259" s="1507"/>
      <c r="Q259" s="1507"/>
      <c r="R259" s="1507"/>
      <c r="S259" s="1507"/>
      <c r="T259" s="1507"/>
      <c r="U259" s="1507"/>
      <c r="V259" s="1507"/>
      <c r="W259" s="1507"/>
      <c r="X259" s="1507"/>
      <c r="Y259" s="1507"/>
      <c r="Z259" s="1507"/>
      <c r="AA259" s="1507"/>
      <c r="AB259" s="1507"/>
      <c r="AC259" s="1507"/>
      <c r="AD259" s="1507"/>
      <c r="AE259" s="1507"/>
      <c r="AF259" s="1507"/>
      <c r="AG259" s="1507"/>
    </row>
    <row r="260" spans="7:33" ht="13.15" customHeight="1">
      <c r="G260" s="2"/>
      <c r="H260" s="2"/>
      <c r="I260" s="2"/>
      <c r="J260" s="1533"/>
      <c r="K260" s="1507"/>
      <c r="L260" s="1507"/>
      <c r="M260" s="1507"/>
      <c r="N260" s="1507"/>
      <c r="O260" s="1507"/>
      <c r="P260" s="1507"/>
      <c r="Q260" s="1507"/>
      <c r="R260" s="1507"/>
      <c r="S260" s="1507"/>
      <c r="T260" s="1507"/>
      <c r="U260" s="1507"/>
      <c r="V260" s="1507"/>
      <c r="W260" s="1507"/>
      <c r="X260" s="1507"/>
      <c r="Y260" s="1507"/>
      <c r="Z260" s="1507"/>
      <c r="AA260" s="1507"/>
      <c r="AB260" s="1507"/>
      <c r="AC260" s="1507"/>
      <c r="AD260" s="1507"/>
      <c r="AE260" s="1507"/>
      <c r="AF260" s="1507"/>
      <c r="AG260" s="1507"/>
    </row>
    <row r="261" spans="7:33" ht="13.15" customHeight="1">
      <c r="G261" s="2"/>
      <c r="H261" s="2"/>
      <c r="I261" s="2"/>
      <c r="J261" s="1533"/>
      <c r="K261" s="1507"/>
      <c r="L261" s="1507"/>
      <c r="M261" s="1507"/>
      <c r="N261" s="1507"/>
      <c r="O261" s="1507"/>
      <c r="P261" s="1507"/>
      <c r="Q261" s="1507"/>
      <c r="R261" s="1507"/>
      <c r="S261" s="1507"/>
      <c r="T261" s="1507"/>
      <c r="U261" s="1507"/>
      <c r="V261" s="1507"/>
      <c r="W261" s="1507"/>
      <c r="X261" s="1507"/>
      <c r="Y261" s="1507"/>
      <c r="Z261" s="1507"/>
      <c r="AA261" s="1507"/>
      <c r="AB261" s="1507"/>
      <c r="AC261" s="1507"/>
      <c r="AD261" s="1507"/>
      <c r="AE261" s="1507"/>
      <c r="AF261" s="1507"/>
      <c r="AG261" s="1507"/>
    </row>
    <row r="262" spans="7:33" ht="13.15" customHeight="1">
      <c r="G262" s="2"/>
      <c r="H262" s="2"/>
      <c r="I262" s="2"/>
      <c r="J262" s="1533"/>
      <c r="K262" s="1507"/>
      <c r="L262" s="1507"/>
      <c r="M262" s="1507"/>
      <c r="N262" s="1507"/>
      <c r="O262" s="1507"/>
      <c r="P262" s="1507"/>
      <c r="Q262" s="1507"/>
      <c r="R262" s="1507"/>
      <c r="S262" s="1507"/>
      <c r="T262" s="1507"/>
      <c r="U262" s="1507"/>
      <c r="V262" s="1507"/>
      <c r="W262" s="1507"/>
      <c r="X262" s="1507"/>
      <c r="Y262" s="1507"/>
      <c r="Z262" s="1507"/>
      <c r="AA262" s="1507"/>
      <c r="AB262" s="1507"/>
      <c r="AC262" s="1507"/>
      <c r="AD262" s="1507"/>
      <c r="AE262" s="1507"/>
      <c r="AF262" s="1507"/>
      <c r="AG262" s="1507"/>
    </row>
    <row r="263" spans="7:33" ht="13.15" customHeight="1">
      <c r="G263" s="2"/>
      <c r="H263" s="2"/>
      <c r="I263" s="2"/>
      <c r="J263" s="1533"/>
      <c r="K263" s="1507"/>
      <c r="L263" s="1507"/>
      <c r="M263" s="1507"/>
      <c r="N263" s="1507"/>
      <c r="O263" s="1507"/>
      <c r="P263" s="1507"/>
      <c r="Q263" s="1507"/>
      <c r="R263" s="1507"/>
      <c r="S263" s="1507"/>
      <c r="T263" s="1507"/>
      <c r="U263" s="1507"/>
      <c r="V263" s="1507"/>
      <c r="W263" s="1507"/>
      <c r="X263" s="1507"/>
      <c r="Y263" s="1507"/>
      <c r="Z263" s="1507"/>
      <c r="AA263" s="1507"/>
      <c r="AB263" s="1507"/>
      <c r="AC263" s="1507"/>
      <c r="AD263" s="1507"/>
      <c r="AE263" s="1507"/>
      <c r="AF263" s="1507"/>
      <c r="AG263" s="1507"/>
    </row>
    <row r="264" spans="7:33" ht="13.15" customHeight="1">
      <c r="G264" s="2"/>
      <c r="H264" s="2"/>
      <c r="I264" s="2"/>
      <c r="J264" s="1533"/>
      <c r="K264" s="1507"/>
      <c r="L264" s="1507"/>
      <c r="M264" s="1507"/>
      <c r="N264" s="1507"/>
      <c r="O264" s="1507"/>
      <c r="P264" s="1507"/>
      <c r="Q264" s="1507"/>
      <c r="R264" s="1507"/>
      <c r="S264" s="1507"/>
      <c r="T264" s="1507"/>
      <c r="U264" s="1507"/>
      <c r="V264" s="1507"/>
      <c r="W264" s="1507"/>
      <c r="X264" s="1507"/>
      <c r="Y264" s="1507"/>
      <c r="Z264" s="1507"/>
      <c r="AA264" s="1507"/>
      <c r="AB264" s="1507"/>
      <c r="AC264" s="1507"/>
      <c r="AD264" s="1507"/>
      <c r="AE264" s="1507"/>
      <c r="AF264" s="1507"/>
      <c r="AG264" s="1507"/>
    </row>
    <row r="265" spans="7:33" ht="13.15" customHeight="1">
      <c r="G265" s="2"/>
      <c r="H265" s="2"/>
      <c r="I265" s="2"/>
      <c r="J265" s="2"/>
    </row>
    <row r="266" spans="7:33" ht="13.15" customHeight="1">
      <c r="G266" s="2"/>
      <c r="H266" s="2"/>
      <c r="I266" s="2"/>
      <c r="J266" s="2"/>
    </row>
    <row r="267" spans="7:33" ht="13.15" customHeight="1">
      <c r="G267" s="2"/>
      <c r="H267" s="2"/>
      <c r="I267" s="2"/>
      <c r="J267" s="2"/>
    </row>
    <row r="268" spans="7:33" ht="13.15" customHeight="1">
      <c r="G268" s="2"/>
      <c r="H268" s="2"/>
      <c r="I268" s="2"/>
      <c r="J268" s="2"/>
    </row>
    <row r="269" spans="7:33" ht="13.15" customHeight="1">
      <c r="G269" s="2"/>
      <c r="H269" s="2"/>
      <c r="I269" s="2"/>
      <c r="J269" s="2"/>
    </row>
    <row r="270" spans="7:33" ht="13.15" customHeight="1">
      <c r="G270" s="2"/>
      <c r="H270" s="2"/>
      <c r="I270" s="2"/>
      <c r="J270" s="2"/>
    </row>
    <row r="271" spans="7:33" ht="13.15" customHeight="1">
      <c r="G271" s="2"/>
      <c r="H271" s="2"/>
      <c r="I271" s="2"/>
      <c r="J271" s="2"/>
    </row>
    <row r="272" spans="7:33" ht="13.15" customHeight="1">
      <c r="G272" s="2"/>
      <c r="H272" s="2"/>
      <c r="I272" s="2"/>
      <c r="J272" s="2"/>
    </row>
    <row r="273" spans="7:10" ht="13.15" customHeight="1">
      <c r="G273" s="2"/>
      <c r="H273" s="2"/>
      <c r="I273" s="2"/>
      <c r="J273" s="2"/>
    </row>
    <row r="274" spans="7:10" ht="13.15" customHeight="1">
      <c r="H274" s="71" t="e">
        <f>H138-#REF!</f>
        <v>#REF!</v>
      </c>
    </row>
    <row r="275" spans="7:10" ht="13.15" customHeight="1"/>
    <row r="276" spans="7:10" ht="13.15" customHeight="1"/>
    <row r="277" spans="7:10" ht="13.15" customHeight="1"/>
  </sheetData>
  <autoFilter ref="K1:K246">
    <filterColumn colId="0">
      <customFilters and="1">
        <customFilter operator="greaterThan" val="0"/>
      </customFilters>
    </filterColumn>
  </autoFilter>
  <mergeCells count="25">
    <mergeCell ref="H7:H8"/>
    <mergeCell ref="A5:I5"/>
    <mergeCell ref="A7:A8"/>
    <mergeCell ref="G7:G8"/>
    <mergeCell ref="D7:D8"/>
    <mergeCell ref="I7:I8"/>
    <mergeCell ref="E7:E8"/>
    <mergeCell ref="B7:B8"/>
    <mergeCell ref="C7:C8"/>
    <mergeCell ref="F7:F8"/>
    <mergeCell ref="A18:A21"/>
    <mergeCell ref="B18:B21"/>
    <mergeCell ref="C18:C21"/>
    <mergeCell ref="D18:D21"/>
    <mergeCell ref="B23:B24"/>
    <mergeCell ref="C23:C24"/>
    <mergeCell ref="D23:D24"/>
    <mergeCell ref="A23:A24"/>
    <mergeCell ref="D93:D117"/>
    <mergeCell ref="A26:A27"/>
    <mergeCell ref="B26:B27"/>
    <mergeCell ref="C26:C27"/>
    <mergeCell ref="D26:D27"/>
    <mergeCell ref="B28:B29"/>
    <mergeCell ref="C28:C29"/>
  </mergeCells>
  <phoneticPr fontId="0" type="noConversion"/>
  <printOptions horizontalCentered="1"/>
  <pageMargins left="0.2" right="0.2" top="0.17" bottom="0.15748031496062992" header="0.17" footer="0.15748031496062992"/>
  <pageSetup paperSize="9" scale="4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filterMode="1"/>
  <dimension ref="A1:IU352"/>
  <sheetViews>
    <sheetView showZeros="0" tabSelected="1" view="pageBreakPreview" zoomScale="60" zoomScaleNormal="75" workbookViewId="0">
      <pane xSplit="5" ySplit="8" topLeftCell="F278" activePane="bottomRight" state="frozen"/>
      <selection pane="topRight" activeCell="D1" sqref="D1"/>
      <selection pane="bottomLeft" activeCell="A10" sqref="A10"/>
      <selection pane="bottomRight" activeCell="K2" sqref="K2:AI285"/>
    </sheetView>
  </sheetViews>
  <sheetFormatPr defaultColWidth="8.85546875" defaultRowHeight="12.75"/>
  <cols>
    <col min="1" max="1" width="15.28515625" style="569" customWidth="1"/>
    <col min="2" max="2" width="16.28515625" style="569" customWidth="1"/>
    <col min="3" max="3" width="16.7109375" style="569" customWidth="1"/>
    <col min="4" max="4" width="42.28515625" style="569" customWidth="1"/>
    <col min="5" max="5" width="51.85546875" style="569" customWidth="1"/>
    <col min="6" max="6" width="18.5703125" style="569" customWidth="1"/>
    <col min="7" max="7" width="15.7109375" style="569" customWidth="1"/>
    <col min="8" max="8" width="15.28515625" style="569" customWidth="1"/>
    <col min="9" max="10" width="15.7109375" style="569" customWidth="1"/>
    <col min="11" max="11" width="19" style="569" customWidth="1"/>
    <col min="12" max="12" width="13.5703125" style="569" bestFit="1" customWidth="1"/>
    <col min="13" max="13" width="14.140625" style="569" customWidth="1"/>
    <col min="14" max="14" width="13.140625" style="569" bestFit="1" customWidth="1"/>
    <col min="15" max="15" width="10.5703125" style="569" bestFit="1" customWidth="1"/>
    <col min="16" max="16384" width="8.85546875" style="569"/>
  </cols>
  <sheetData>
    <row r="1" spans="1:35" ht="16.5">
      <c r="A1" s="19"/>
      <c r="B1" s="19"/>
      <c r="C1" s="19"/>
      <c r="D1" s="19"/>
      <c r="E1" s="19"/>
      <c r="F1" s="19"/>
      <c r="G1" s="19"/>
      <c r="H1" s="19"/>
      <c r="I1" s="98" t="s">
        <v>303</v>
      </c>
      <c r="J1" s="98"/>
      <c r="K1" s="569">
        <v>1</v>
      </c>
    </row>
    <row r="2" spans="1:35" ht="16.5" customHeight="1">
      <c r="A2" s="19"/>
      <c r="B2" s="19"/>
      <c r="C2" s="19"/>
      <c r="D2" s="19"/>
      <c r="E2" s="19"/>
      <c r="F2" s="19"/>
      <c r="G2" s="19"/>
      <c r="H2" s="19"/>
      <c r="I2" s="98" t="s">
        <v>368</v>
      </c>
      <c r="J2" s="98"/>
      <c r="K2" s="1448">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row>
    <row r="3" spans="1:35" ht="16.5" customHeight="1">
      <c r="A3" s="19"/>
      <c r="B3" s="19"/>
      <c r="C3" s="19"/>
      <c r="D3" s="19"/>
      <c r="E3" s="19"/>
      <c r="F3" s="19"/>
      <c r="G3" s="19"/>
      <c r="H3" s="19"/>
      <c r="I3" s="98" t="s">
        <v>2155</v>
      </c>
      <c r="J3" s="98"/>
      <c r="K3" s="1448">
        <v>1</v>
      </c>
      <c r="L3" s="1448"/>
      <c r="M3" s="1448"/>
      <c r="N3" s="1448"/>
      <c r="O3" s="1448"/>
      <c r="P3" s="1448"/>
      <c r="Q3" s="1448"/>
      <c r="R3" s="1448"/>
      <c r="S3" s="1448"/>
      <c r="T3" s="1448"/>
      <c r="U3" s="1448"/>
      <c r="V3" s="1448"/>
      <c r="W3" s="1448"/>
      <c r="X3" s="1448"/>
      <c r="Y3" s="1448"/>
      <c r="Z3" s="1448"/>
      <c r="AA3" s="1448"/>
      <c r="AB3" s="1448"/>
      <c r="AC3" s="1448"/>
      <c r="AD3" s="1448"/>
      <c r="AE3" s="1448"/>
      <c r="AF3" s="1448"/>
      <c r="AG3" s="1448"/>
      <c r="AH3" s="1448"/>
      <c r="AI3" s="1448"/>
    </row>
    <row r="4" spans="1:35" ht="6" customHeight="1">
      <c r="A4" s="19"/>
      <c r="B4" s="19"/>
      <c r="C4" s="19"/>
      <c r="D4" s="19"/>
      <c r="E4" s="19"/>
      <c r="F4" s="19"/>
      <c r="G4" s="19"/>
      <c r="H4" s="1707"/>
      <c r="I4" s="1707"/>
      <c r="J4" s="907"/>
      <c r="K4" s="1448">
        <v>1</v>
      </c>
      <c r="L4" s="1448"/>
      <c r="M4" s="1448"/>
      <c r="N4" s="1448"/>
      <c r="O4" s="1448"/>
      <c r="P4" s="1448"/>
      <c r="Q4" s="1448"/>
      <c r="R4" s="1448"/>
      <c r="S4" s="1448"/>
      <c r="T4" s="1448"/>
      <c r="U4" s="1448"/>
      <c r="V4" s="1448"/>
      <c r="W4" s="1448"/>
      <c r="X4" s="1448"/>
      <c r="Y4" s="1448"/>
      <c r="Z4" s="1448"/>
      <c r="AA4" s="1448"/>
      <c r="AB4" s="1448"/>
      <c r="AC4" s="1448"/>
      <c r="AD4" s="1448"/>
      <c r="AE4" s="1448"/>
      <c r="AF4" s="1448"/>
      <c r="AG4" s="1448"/>
      <c r="AH4" s="1448"/>
      <c r="AI4" s="1448"/>
    </row>
    <row r="5" spans="1:35" ht="33" customHeight="1">
      <c r="A5" s="1708" t="s">
        <v>1023</v>
      </c>
      <c r="B5" s="1708"/>
      <c r="C5" s="1708"/>
      <c r="D5" s="1708"/>
      <c r="E5" s="1708"/>
      <c r="F5" s="1708"/>
      <c r="G5" s="1708"/>
      <c r="H5" s="1708"/>
      <c r="I5" s="1708"/>
      <c r="J5" s="1708"/>
      <c r="K5" s="1448">
        <v>1</v>
      </c>
      <c r="L5" s="1448"/>
      <c r="M5" s="1448"/>
      <c r="N5" s="1448"/>
      <c r="O5" s="1448"/>
      <c r="P5" s="1448"/>
      <c r="Q5" s="1448"/>
      <c r="R5" s="1448"/>
      <c r="S5" s="1448"/>
      <c r="T5" s="1448"/>
      <c r="U5" s="1448"/>
      <c r="V5" s="1448"/>
      <c r="W5" s="1448"/>
      <c r="X5" s="1448"/>
      <c r="Y5" s="1448"/>
      <c r="Z5" s="1448"/>
      <c r="AA5" s="1448"/>
      <c r="AB5" s="1448"/>
      <c r="AC5" s="1448"/>
      <c r="AD5" s="1448"/>
      <c r="AE5" s="1448"/>
      <c r="AF5" s="1448"/>
      <c r="AG5" s="1448"/>
      <c r="AH5" s="1448"/>
      <c r="AI5" s="1448"/>
    </row>
    <row r="6" spans="1:35" ht="16.5" customHeight="1">
      <c r="A6" s="19"/>
      <c r="B6" s="19"/>
      <c r="C6" s="19"/>
      <c r="D6" s="19"/>
      <c r="E6" s="19"/>
      <c r="F6" s="19"/>
      <c r="G6" s="19"/>
      <c r="H6" s="19"/>
      <c r="I6" s="128" t="s">
        <v>982</v>
      </c>
      <c r="J6" s="128"/>
      <c r="K6" s="1448">
        <v>1</v>
      </c>
      <c r="L6" s="1448"/>
      <c r="M6" s="1448"/>
      <c r="N6" s="1448"/>
      <c r="O6" s="1448"/>
      <c r="P6" s="1448"/>
      <c r="Q6" s="1448"/>
      <c r="R6" s="1448"/>
      <c r="S6" s="1448"/>
      <c r="T6" s="1448"/>
      <c r="U6" s="1448"/>
      <c r="V6" s="1448"/>
      <c r="W6" s="1448"/>
      <c r="X6" s="1448"/>
      <c r="Y6" s="1448"/>
      <c r="Z6" s="1448"/>
      <c r="AA6" s="1448"/>
      <c r="AB6" s="1448"/>
      <c r="AC6" s="1448"/>
      <c r="AD6" s="1448"/>
      <c r="AE6" s="1448"/>
      <c r="AF6" s="1448"/>
      <c r="AG6" s="1448"/>
      <c r="AH6" s="1448"/>
      <c r="AI6" s="1448"/>
    </row>
    <row r="7" spans="1:35" ht="72.95" customHeight="1">
      <c r="A7" s="1690" t="s">
        <v>1001</v>
      </c>
      <c r="B7" s="1690" t="s">
        <v>999</v>
      </c>
      <c r="C7" s="1690" t="s">
        <v>1000</v>
      </c>
      <c r="D7" s="1615" t="s">
        <v>1002</v>
      </c>
      <c r="E7" s="1613" t="s">
        <v>1024</v>
      </c>
      <c r="F7" s="1705" t="s">
        <v>1025</v>
      </c>
      <c r="G7" s="1613" t="s">
        <v>984</v>
      </c>
      <c r="H7" s="1613" t="s">
        <v>64</v>
      </c>
      <c r="I7" s="1613" t="s">
        <v>65</v>
      </c>
      <c r="J7" s="1613"/>
      <c r="K7" s="1448">
        <v>1</v>
      </c>
      <c r="L7" s="1448"/>
      <c r="M7" s="1448"/>
      <c r="N7" s="1448"/>
      <c r="O7" s="1448"/>
      <c r="P7" s="1448"/>
      <c r="Q7" s="1448"/>
      <c r="R7" s="1448"/>
      <c r="S7" s="1448"/>
      <c r="T7" s="1448"/>
      <c r="U7" s="1448"/>
      <c r="V7" s="1448"/>
      <c r="W7" s="1448"/>
      <c r="X7" s="1448"/>
      <c r="Y7" s="1448"/>
      <c r="Z7" s="1448"/>
      <c r="AA7" s="1448"/>
      <c r="AB7" s="1448"/>
      <c r="AC7" s="1448"/>
      <c r="AD7" s="1448"/>
      <c r="AE7" s="1448"/>
      <c r="AF7" s="1448"/>
      <c r="AG7" s="1448"/>
      <c r="AH7" s="1448"/>
      <c r="AI7" s="1448"/>
    </row>
    <row r="8" spans="1:35" ht="69" customHeight="1">
      <c r="A8" s="1691"/>
      <c r="B8" s="1691"/>
      <c r="C8" s="1691"/>
      <c r="D8" s="1617"/>
      <c r="E8" s="1613"/>
      <c r="F8" s="1706"/>
      <c r="G8" s="1613"/>
      <c r="H8" s="1613"/>
      <c r="I8" s="902" t="s">
        <v>991</v>
      </c>
      <c r="J8" s="902" t="s">
        <v>1003</v>
      </c>
      <c r="K8" s="1449">
        <v>1</v>
      </c>
      <c r="L8" s="1448"/>
      <c r="M8" s="1448"/>
      <c r="N8" s="1448"/>
      <c r="O8" s="1448"/>
      <c r="P8" s="1448"/>
      <c r="Q8" s="1448"/>
      <c r="R8" s="1448"/>
      <c r="S8" s="1448"/>
      <c r="T8" s="1448"/>
      <c r="U8" s="1448"/>
      <c r="V8" s="1448"/>
      <c r="W8" s="1448"/>
      <c r="X8" s="1448"/>
      <c r="Y8" s="1448"/>
      <c r="Z8" s="1448"/>
      <c r="AA8" s="1448"/>
      <c r="AB8" s="1448"/>
      <c r="AC8" s="1448"/>
      <c r="AD8" s="1448"/>
      <c r="AE8" s="1448"/>
      <c r="AF8" s="1448"/>
      <c r="AG8" s="1448"/>
      <c r="AH8" s="1448"/>
      <c r="AI8" s="1448"/>
    </row>
    <row r="9" spans="1:35" s="987" customFormat="1" ht="15.75">
      <c r="A9" s="984" t="s">
        <v>379</v>
      </c>
      <c r="B9" s="984" t="s">
        <v>380</v>
      </c>
      <c r="C9" s="984" t="s">
        <v>381</v>
      </c>
      <c r="D9" s="985">
        <v>4</v>
      </c>
      <c r="E9" s="902">
        <v>5</v>
      </c>
      <c r="F9" s="986">
        <v>6</v>
      </c>
      <c r="G9" s="902">
        <v>7</v>
      </c>
      <c r="H9" s="902">
        <v>8</v>
      </c>
      <c r="I9" s="902">
        <v>9</v>
      </c>
      <c r="J9" s="902">
        <v>10</v>
      </c>
      <c r="K9" s="1542">
        <v>1</v>
      </c>
      <c r="L9" s="1542"/>
      <c r="M9" s="1542"/>
      <c r="N9" s="1542"/>
      <c r="O9" s="1542"/>
      <c r="P9" s="1542"/>
      <c r="Q9" s="1542"/>
      <c r="R9" s="1542"/>
      <c r="S9" s="1542"/>
      <c r="T9" s="1542"/>
      <c r="U9" s="1542"/>
      <c r="V9" s="1542"/>
      <c r="W9" s="1542"/>
      <c r="X9" s="1542"/>
      <c r="Y9" s="1542"/>
      <c r="Z9" s="1542"/>
      <c r="AA9" s="1542"/>
      <c r="AB9" s="1542"/>
      <c r="AC9" s="1542"/>
      <c r="AD9" s="1542"/>
      <c r="AE9" s="1542"/>
      <c r="AF9" s="1542"/>
      <c r="AG9" s="1542"/>
      <c r="AH9" s="1542"/>
      <c r="AI9" s="1542"/>
    </row>
    <row r="10" spans="1:35" ht="15.75">
      <c r="A10" s="282" t="s">
        <v>84</v>
      </c>
      <c r="B10" s="282"/>
      <c r="C10" s="282"/>
      <c r="D10" s="283" t="s">
        <v>54</v>
      </c>
      <c r="E10" s="315"/>
      <c r="F10" s="957"/>
      <c r="G10" s="1098">
        <f>G11</f>
        <v>23653538</v>
      </c>
      <c r="H10" s="1098">
        <f>H11</f>
        <v>17330760</v>
      </c>
      <c r="I10" s="1098">
        <f>I11</f>
        <v>6322778</v>
      </c>
      <c r="J10" s="1098">
        <f>J11</f>
        <v>5105600</v>
      </c>
      <c r="K10" s="1543">
        <f t="shared" ref="K10:K76" si="0">SUM(H10:I10)</f>
        <v>23653538</v>
      </c>
      <c r="L10" s="1543">
        <f>G10-H10-I10</f>
        <v>0</v>
      </c>
      <c r="M10" s="1543">
        <f>G10-I10-H10</f>
        <v>0</v>
      </c>
      <c r="N10" s="1448"/>
      <c r="O10" s="1448"/>
      <c r="P10" s="1448"/>
      <c r="Q10" s="1448"/>
      <c r="R10" s="1448"/>
      <c r="S10" s="1448"/>
      <c r="T10" s="1448"/>
      <c r="U10" s="1448"/>
      <c r="V10" s="1448"/>
      <c r="W10" s="1448"/>
      <c r="X10" s="1448"/>
      <c r="Y10" s="1448"/>
      <c r="Z10" s="1448"/>
      <c r="AA10" s="1448"/>
      <c r="AB10" s="1448"/>
      <c r="AC10" s="1448"/>
      <c r="AD10" s="1448"/>
      <c r="AE10" s="1448"/>
      <c r="AF10" s="1448"/>
      <c r="AG10" s="1448"/>
      <c r="AH10" s="1448"/>
      <c r="AI10" s="1448"/>
    </row>
    <row r="11" spans="1:35" s="1139" customFormat="1" ht="15.75">
      <c r="A11" s="282" t="s">
        <v>85</v>
      </c>
      <c r="B11" s="282"/>
      <c r="C11" s="282"/>
      <c r="D11" s="283" t="s">
        <v>54</v>
      </c>
      <c r="E11" s="315"/>
      <c r="F11" s="957"/>
      <c r="G11" s="1098">
        <f>SUM(G12:G22)</f>
        <v>23653538</v>
      </c>
      <c r="H11" s="1098">
        <f>SUM(H12:H22)</f>
        <v>17330760</v>
      </c>
      <c r="I11" s="1098">
        <f>SUM(I12:I22)</f>
        <v>6322778</v>
      </c>
      <c r="J11" s="1098">
        <f>SUM(J12:J22)</f>
        <v>5105600</v>
      </c>
      <c r="K11" s="1543">
        <f t="shared" si="0"/>
        <v>23653538</v>
      </c>
      <c r="L11" s="1543">
        <f>G11-H11-I11</f>
        <v>0</v>
      </c>
      <c r="M11" s="1543">
        <f>G11-I11-H11</f>
        <v>0</v>
      </c>
      <c r="N11" s="1519"/>
      <c r="O11" s="1519"/>
      <c r="P11" s="1519"/>
      <c r="Q11" s="1519"/>
      <c r="R11" s="1519"/>
      <c r="S11" s="1519"/>
      <c r="T11" s="1519"/>
      <c r="U11" s="1519"/>
      <c r="V11" s="1519"/>
      <c r="W11" s="1519"/>
      <c r="X11" s="1519"/>
      <c r="Y11" s="1519"/>
      <c r="Z11" s="1519"/>
      <c r="AA11" s="1519"/>
      <c r="AB11" s="1519"/>
      <c r="AC11" s="1519"/>
      <c r="AD11" s="1519"/>
      <c r="AE11" s="1519"/>
      <c r="AF11" s="1519"/>
      <c r="AG11" s="1519"/>
      <c r="AH11" s="1519"/>
      <c r="AI11" s="1519"/>
    </row>
    <row r="12" spans="1:35" ht="78.75">
      <c r="A12" s="280" t="s">
        <v>385</v>
      </c>
      <c r="B12" s="280" t="s">
        <v>386</v>
      </c>
      <c r="C12" s="280" t="s">
        <v>4</v>
      </c>
      <c r="D12" s="194" t="s">
        <v>214</v>
      </c>
      <c r="E12" s="468" t="s">
        <v>1047</v>
      </c>
      <c r="F12" s="960" t="s">
        <v>1171</v>
      </c>
      <c r="G12" s="1099">
        <f t="shared" ref="G12:G22" si="1">H12+I12</f>
        <v>2320100</v>
      </c>
      <c r="H12" s="1099">
        <v>2320100</v>
      </c>
      <c r="I12" s="485"/>
      <c r="J12" s="485"/>
      <c r="K12" s="1543">
        <f t="shared" si="0"/>
        <v>2320100</v>
      </c>
      <c r="L12" s="1543">
        <f>G12-H12-I12</f>
        <v>0</v>
      </c>
      <c r="M12" s="1543">
        <f>G12-I12-H12</f>
        <v>0</v>
      </c>
      <c r="N12" s="1448"/>
      <c r="O12" s="1448"/>
      <c r="P12" s="1448"/>
      <c r="Q12" s="1448"/>
      <c r="R12" s="1448"/>
      <c r="S12" s="1448"/>
      <c r="T12" s="1448"/>
      <c r="U12" s="1448"/>
      <c r="V12" s="1448"/>
      <c r="W12" s="1448"/>
      <c r="X12" s="1448"/>
      <c r="Y12" s="1448"/>
      <c r="Z12" s="1448"/>
      <c r="AA12" s="1448"/>
      <c r="AB12" s="1448"/>
      <c r="AC12" s="1448"/>
      <c r="AD12" s="1448"/>
      <c r="AE12" s="1448"/>
      <c r="AF12" s="1448"/>
      <c r="AG12" s="1448"/>
      <c r="AH12" s="1448"/>
      <c r="AI12" s="1448"/>
    </row>
    <row r="13" spans="1:35" ht="63.6" customHeight="1">
      <c r="A13" s="42" t="s">
        <v>398</v>
      </c>
      <c r="B13" s="42" t="s">
        <v>7</v>
      </c>
      <c r="C13" s="42" t="s">
        <v>10</v>
      </c>
      <c r="D13" s="33" t="s">
        <v>399</v>
      </c>
      <c r="E13" s="468" t="s">
        <v>1047</v>
      </c>
      <c r="F13" s="960" t="s">
        <v>1171</v>
      </c>
      <c r="G13" s="1099">
        <f t="shared" si="1"/>
        <v>10000</v>
      </c>
      <c r="H13" s="1099">
        <v>10000</v>
      </c>
      <c r="I13" s="1099"/>
      <c r="J13" s="1099"/>
      <c r="K13" s="1543">
        <f t="shared" si="0"/>
        <v>10000</v>
      </c>
      <c r="L13" s="1543">
        <f>G13-H13-I13</f>
        <v>0</v>
      </c>
      <c r="M13" s="1543">
        <f>G13-I13-H13</f>
        <v>0</v>
      </c>
      <c r="N13" s="1448"/>
      <c r="O13" s="1448"/>
      <c r="P13" s="1448"/>
      <c r="Q13" s="1448"/>
      <c r="R13" s="1448"/>
      <c r="S13" s="1448"/>
      <c r="T13" s="1448"/>
      <c r="U13" s="1448"/>
      <c r="V13" s="1448"/>
      <c r="W13" s="1448"/>
      <c r="X13" s="1448"/>
      <c r="Y13" s="1448"/>
      <c r="Z13" s="1448"/>
      <c r="AA13" s="1448"/>
      <c r="AB13" s="1448"/>
      <c r="AC13" s="1448"/>
      <c r="AD13" s="1448"/>
      <c r="AE13" s="1448"/>
      <c r="AF13" s="1448"/>
      <c r="AG13" s="1448"/>
      <c r="AH13" s="1448"/>
      <c r="AI13" s="1448"/>
    </row>
    <row r="14" spans="1:35" ht="60.6" customHeight="1">
      <c r="A14" s="42" t="s">
        <v>388</v>
      </c>
      <c r="B14" s="42">
        <v>3242</v>
      </c>
      <c r="C14" s="42">
        <v>1090</v>
      </c>
      <c r="D14" s="41" t="s">
        <v>387</v>
      </c>
      <c r="E14" s="468" t="s">
        <v>1047</v>
      </c>
      <c r="F14" s="960" t="s">
        <v>1171</v>
      </c>
      <c r="G14" s="1099">
        <f t="shared" si="1"/>
        <v>8920000</v>
      </c>
      <c r="H14" s="1099">
        <v>8920000</v>
      </c>
      <c r="I14" s="1099"/>
      <c r="J14" s="1099"/>
      <c r="K14" s="1543">
        <f t="shared" si="0"/>
        <v>8920000</v>
      </c>
      <c r="L14" s="1543">
        <f>G14-H14-I14</f>
        <v>0</v>
      </c>
      <c r="M14" s="1543">
        <f>G14-I14-H14</f>
        <v>0</v>
      </c>
      <c r="N14" s="1543"/>
      <c r="O14" s="1543"/>
      <c r="P14" s="1448"/>
      <c r="Q14" s="1448"/>
      <c r="R14" s="1448"/>
      <c r="S14" s="1448"/>
      <c r="T14" s="1448"/>
      <c r="U14" s="1448"/>
      <c r="V14" s="1448"/>
      <c r="W14" s="1448"/>
      <c r="X14" s="1448"/>
      <c r="Y14" s="1448"/>
      <c r="Z14" s="1448"/>
      <c r="AA14" s="1448"/>
      <c r="AB14" s="1448"/>
      <c r="AC14" s="1448"/>
      <c r="AD14" s="1448"/>
      <c r="AE14" s="1448"/>
      <c r="AF14" s="1448"/>
      <c r="AG14" s="1448"/>
      <c r="AH14" s="1448"/>
      <c r="AI14" s="1448"/>
    </row>
    <row r="15" spans="1:35" s="17" customFormat="1" ht="70.5" hidden="1" customHeight="1">
      <c r="A15" s="42" t="s">
        <v>724</v>
      </c>
      <c r="B15" s="42" t="s">
        <v>725</v>
      </c>
      <c r="C15" s="42" t="s">
        <v>726</v>
      </c>
      <c r="D15" s="41" t="s">
        <v>727</v>
      </c>
      <c r="E15" s="40" t="s">
        <v>792</v>
      </c>
      <c r="F15" s="958"/>
      <c r="G15" s="1099">
        <f t="shared" si="1"/>
        <v>0</v>
      </c>
      <c r="H15" s="1099"/>
      <c r="I15" s="1099"/>
      <c r="J15" s="1099"/>
      <c r="K15" s="568">
        <f t="shared" si="0"/>
        <v>0</v>
      </c>
    </row>
    <row r="16" spans="1:35" s="17" customFormat="1" ht="31.5" hidden="1">
      <c r="A16" s="42" t="s">
        <v>390</v>
      </c>
      <c r="B16" s="42" t="s">
        <v>389</v>
      </c>
      <c r="C16" s="42" t="s">
        <v>278</v>
      </c>
      <c r="D16" s="41" t="s">
        <v>391</v>
      </c>
      <c r="E16" s="316"/>
      <c r="F16" s="327"/>
      <c r="G16" s="1099">
        <f t="shared" si="1"/>
        <v>0</v>
      </c>
      <c r="H16" s="1099"/>
      <c r="I16" s="1099"/>
      <c r="J16" s="1099"/>
      <c r="K16" s="568">
        <f t="shared" si="0"/>
        <v>0</v>
      </c>
    </row>
    <row r="17" spans="1:35" s="17" customFormat="1" ht="45">
      <c r="A17" s="42" t="s">
        <v>938</v>
      </c>
      <c r="B17" s="42" t="s">
        <v>589</v>
      </c>
      <c r="C17" s="42" t="s">
        <v>278</v>
      </c>
      <c r="D17" s="41" t="s">
        <v>149</v>
      </c>
      <c r="E17" s="468" t="s">
        <v>1047</v>
      </c>
      <c r="F17" s="960" t="s">
        <v>1171</v>
      </c>
      <c r="G17" s="1099">
        <f t="shared" si="1"/>
        <v>26000</v>
      </c>
      <c r="H17" s="1099"/>
      <c r="I17" s="1099">
        <v>26000</v>
      </c>
      <c r="J17" s="1099">
        <v>26000</v>
      </c>
      <c r="K17" s="1543">
        <f t="shared" si="0"/>
        <v>26000</v>
      </c>
      <c r="L17" s="1448"/>
      <c r="M17" s="1448"/>
      <c r="N17" s="1448"/>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row>
    <row r="18" spans="1:35" s="17" customFormat="1" ht="31.5" hidden="1">
      <c r="A18" s="293" t="s">
        <v>392</v>
      </c>
      <c r="B18" s="293" t="s">
        <v>393</v>
      </c>
      <c r="C18" s="293" t="s">
        <v>6</v>
      </c>
      <c r="D18" s="45" t="s">
        <v>90</v>
      </c>
      <c r="E18" s="47"/>
      <c r="F18" s="959"/>
      <c r="G18" s="1099">
        <f t="shared" si="1"/>
        <v>0</v>
      </c>
      <c r="H18" s="1100"/>
      <c r="I18" s="1100"/>
      <c r="J18" s="1100"/>
      <c r="K18" s="568">
        <f t="shared" si="0"/>
        <v>0</v>
      </c>
    </row>
    <row r="19" spans="1:35" ht="90.75" hidden="1" customHeight="1">
      <c r="A19" s="1674" t="s">
        <v>400</v>
      </c>
      <c r="B19" s="1674" t="s">
        <v>401</v>
      </c>
      <c r="C19" s="1674" t="s">
        <v>7</v>
      </c>
      <c r="D19" s="1697" t="s">
        <v>402</v>
      </c>
      <c r="E19" s="469" t="s">
        <v>1048</v>
      </c>
      <c r="F19" s="960" t="s">
        <v>1049</v>
      </c>
      <c r="G19" s="1099">
        <f t="shared" si="1"/>
        <v>0</v>
      </c>
      <c r="H19" s="485"/>
      <c r="I19" s="1099"/>
      <c r="J19" s="1099"/>
      <c r="K19" s="568">
        <f t="shared" si="0"/>
        <v>0</v>
      </c>
      <c r="L19" s="568">
        <f>G19-H19-I19</f>
        <v>0</v>
      </c>
      <c r="M19" s="568">
        <f>G19-I19-H19</f>
        <v>0</v>
      </c>
    </row>
    <row r="20" spans="1:35" ht="54.75" customHeight="1">
      <c r="A20" s="1696"/>
      <c r="B20" s="1696"/>
      <c r="C20" s="1696"/>
      <c r="D20" s="1699"/>
      <c r="E20" s="461" t="s">
        <v>1045</v>
      </c>
      <c r="F20" s="960" t="s">
        <v>1172</v>
      </c>
      <c r="G20" s="1099">
        <f t="shared" si="1"/>
        <v>1217178</v>
      </c>
      <c r="H20" s="485"/>
      <c r="I20" s="1099">
        <v>1217178</v>
      </c>
      <c r="J20" s="1099"/>
      <c r="K20" s="1543">
        <f t="shared" si="0"/>
        <v>1217178</v>
      </c>
      <c r="L20" s="1543">
        <f>G20-H20-I20</f>
        <v>0</v>
      </c>
      <c r="M20" s="1543">
        <f>G20-I20-H20</f>
        <v>0</v>
      </c>
      <c r="N20" s="1544">
        <f>I20+I19</f>
        <v>1217178</v>
      </c>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row>
    <row r="21" spans="1:35" ht="69.75" customHeight="1">
      <c r="A21" s="1675"/>
      <c r="B21" s="1675"/>
      <c r="C21" s="1675"/>
      <c r="D21" s="1698"/>
      <c r="E21" s="570" t="s">
        <v>1047</v>
      </c>
      <c r="F21" s="960" t="s">
        <v>1171</v>
      </c>
      <c r="G21" s="1099">
        <f t="shared" si="1"/>
        <v>10751950</v>
      </c>
      <c r="H21" s="1099">
        <f>5412448+291900</f>
        <v>5704348</v>
      </c>
      <c r="I21" s="1099">
        <f>450000+4510490+87112</f>
        <v>5047602</v>
      </c>
      <c r="J21" s="1099">
        <f>450000+4510490+87112</f>
        <v>5047602</v>
      </c>
      <c r="K21" s="1543">
        <f t="shared" si="0"/>
        <v>10751950</v>
      </c>
      <c r="L21" s="1543">
        <f>G21-H21-I21</f>
        <v>0</v>
      </c>
      <c r="M21" s="1543">
        <f>G21-I21-H21</f>
        <v>0</v>
      </c>
      <c r="N21" s="1544">
        <f>I21-[2]дод3!J23</f>
        <v>-921288</v>
      </c>
      <c r="O21" s="1448"/>
      <c r="P21" s="1448"/>
      <c r="Q21" s="1448"/>
      <c r="R21" s="1448"/>
      <c r="S21" s="1448"/>
      <c r="T21" s="1448"/>
      <c r="U21" s="1448"/>
      <c r="V21" s="1448"/>
      <c r="W21" s="1448"/>
      <c r="X21" s="1448"/>
      <c r="Y21" s="1448"/>
      <c r="Z21" s="1448"/>
      <c r="AA21" s="1448"/>
      <c r="AB21" s="1448"/>
      <c r="AC21" s="1448"/>
      <c r="AD21" s="1448"/>
      <c r="AE21" s="1448"/>
      <c r="AF21" s="1448"/>
      <c r="AG21" s="1448"/>
      <c r="AH21" s="1448"/>
      <c r="AI21" s="1448"/>
    </row>
    <row r="22" spans="1:35" ht="69.75" customHeight="1">
      <c r="A22" s="42" t="s">
        <v>395</v>
      </c>
      <c r="B22" s="42" t="s">
        <v>396</v>
      </c>
      <c r="C22" s="42" t="s">
        <v>7</v>
      </c>
      <c r="D22" s="33" t="s">
        <v>397</v>
      </c>
      <c r="E22" s="570" t="s">
        <v>1047</v>
      </c>
      <c r="F22" s="960" t="s">
        <v>1171</v>
      </c>
      <c r="G22" s="1099">
        <f t="shared" si="1"/>
        <v>408310</v>
      </c>
      <c r="H22" s="1099">
        <v>376312</v>
      </c>
      <c r="I22" s="1099">
        <v>31998</v>
      </c>
      <c r="J22" s="1099">
        <v>31998</v>
      </c>
      <c r="K22" s="1543">
        <f t="shared" si="0"/>
        <v>408310</v>
      </c>
      <c r="L22" s="1448"/>
      <c r="M22" s="1545" t="b">
        <f>H22=[2]дод3!E24</f>
        <v>1</v>
      </c>
      <c r="N22" s="1546" t="b">
        <f>I22=[2]дод3!J24</f>
        <v>1</v>
      </c>
      <c r="O22" s="1545" t="b">
        <f>H22='[2]дод5.3'!D8</f>
        <v>1</v>
      </c>
      <c r="P22" s="1546" t="b">
        <f>I22='[2]дод5.3'!E8</f>
        <v>1</v>
      </c>
      <c r="Q22" s="1448"/>
      <c r="R22" s="1448"/>
      <c r="S22" s="1448"/>
      <c r="T22" s="1448"/>
      <c r="U22" s="1448"/>
      <c r="V22" s="1448"/>
      <c r="W22" s="1448"/>
      <c r="X22" s="1448"/>
      <c r="Y22" s="1448"/>
      <c r="Z22" s="1448"/>
      <c r="AA22" s="1448"/>
      <c r="AB22" s="1448"/>
      <c r="AC22" s="1448"/>
      <c r="AD22" s="1448"/>
      <c r="AE22" s="1448"/>
      <c r="AF22" s="1448"/>
      <c r="AG22" s="1448"/>
      <c r="AH22" s="1448"/>
      <c r="AI22" s="1448"/>
    </row>
    <row r="23" spans="1:35" ht="32.25" customHeight="1">
      <c r="A23" s="285" t="s">
        <v>404</v>
      </c>
      <c r="B23" s="285"/>
      <c r="C23" s="285"/>
      <c r="D23" s="286" t="s">
        <v>55</v>
      </c>
      <c r="E23" s="309"/>
      <c r="F23" s="962"/>
      <c r="G23" s="1098">
        <f>G24</f>
        <v>2701200</v>
      </c>
      <c r="H23" s="1098">
        <f>H24</f>
        <v>1961763</v>
      </c>
      <c r="I23" s="1098">
        <f>I24</f>
        <v>739437</v>
      </c>
      <c r="J23" s="1098">
        <f>J24</f>
        <v>311000</v>
      </c>
      <c r="K23" s="1543">
        <f t="shared" si="0"/>
        <v>2701200</v>
      </c>
      <c r="L23" s="1543">
        <f>G23-H23-I23</f>
        <v>0</v>
      </c>
      <c r="M23" s="1543">
        <f>G23-I23-H23</f>
        <v>0</v>
      </c>
      <c r="N23" s="1543">
        <f>I22-[2]дод3!J24</f>
        <v>0</v>
      </c>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row>
    <row r="24" spans="1:35" ht="31.5">
      <c r="A24" s="285" t="s">
        <v>405</v>
      </c>
      <c r="B24" s="285"/>
      <c r="C24" s="285"/>
      <c r="D24" s="286" t="s">
        <v>55</v>
      </c>
      <c r="E24" s="309"/>
      <c r="F24" s="962"/>
      <c r="G24" s="1098">
        <f>G25+G26+G28+G27+G29</f>
        <v>2701200</v>
      </c>
      <c r="H24" s="1098">
        <f>H25+H26+H28+H27+H29</f>
        <v>1961763</v>
      </c>
      <c r="I24" s="1098">
        <f>I25+I26+I28+I27+I29</f>
        <v>739437</v>
      </c>
      <c r="J24" s="1098">
        <f>J25+J26+J28+J27+J29</f>
        <v>311000</v>
      </c>
      <c r="K24" s="1543">
        <f t="shared" si="0"/>
        <v>2701200</v>
      </c>
      <c r="L24" s="1543">
        <f>G24-H24-I24</f>
        <v>0</v>
      </c>
      <c r="M24" s="1543">
        <f>G24-I24-H24</f>
        <v>0</v>
      </c>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row>
    <row r="25" spans="1:35" s="17" customFormat="1" ht="31.5" hidden="1">
      <c r="A25" s="42" t="s">
        <v>406</v>
      </c>
      <c r="B25" s="42" t="s">
        <v>8</v>
      </c>
      <c r="C25" s="42" t="s">
        <v>9</v>
      </c>
      <c r="D25" s="194" t="s">
        <v>403</v>
      </c>
      <c r="E25" s="316"/>
      <c r="F25" s="327"/>
      <c r="G25" s="1099">
        <f>H25+I25</f>
        <v>0</v>
      </c>
      <c r="H25" s="1099"/>
      <c r="I25" s="1099"/>
      <c r="J25" s="1099"/>
      <c r="K25" s="568">
        <f t="shared" si="0"/>
        <v>0</v>
      </c>
    </row>
    <row r="26" spans="1:35" ht="74.25" customHeight="1">
      <c r="A26" s="1700" t="s">
        <v>407</v>
      </c>
      <c r="B26" s="1702" t="s">
        <v>7</v>
      </c>
      <c r="C26" s="1702" t="s">
        <v>10</v>
      </c>
      <c r="D26" s="1702" t="s">
        <v>399</v>
      </c>
      <c r="E26" s="461" t="s">
        <v>1045</v>
      </c>
      <c r="F26" s="960" t="s">
        <v>1172</v>
      </c>
      <c r="G26" s="1099">
        <f>H26+I26</f>
        <v>974000</v>
      </c>
      <c r="H26" s="1099">
        <v>974000</v>
      </c>
      <c r="I26" s="1099"/>
      <c r="J26" s="1099"/>
      <c r="K26" s="1543">
        <f t="shared" si="0"/>
        <v>974000</v>
      </c>
      <c r="L26" s="1543">
        <f>G26-H26-I26</f>
        <v>0</v>
      </c>
      <c r="M26" s="1543">
        <f t="shared" ref="M26:M32" si="2">G26-I26-H26</f>
        <v>0</v>
      </c>
      <c r="N26" s="1448"/>
      <c r="O26" s="1448"/>
      <c r="P26" s="1448"/>
      <c r="Q26" s="1448"/>
      <c r="R26" s="1448"/>
      <c r="S26" s="1448"/>
      <c r="T26" s="1448"/>
      <c r="U26" s="1448"/>
      <c r="V26" s="1448"/>
      <c r="W26" s="1448"/>
      <c r="X26" s="1448"/>
      <c r="Y26" s="1448"/>
      <c r="Z26" s="1448"/>
      <c r="AA26" s="1448"/>
      <c r="AB26" s="1448"/>
      <c r="AC26" s="1448"/>
      <c r="AD26" s="1448"/>
      <c r="AE26" s="1448"/>
      <c r="AF26" s="1448"/>
      <c r="AG26" s="1448"/>
      <c r="AH26" s="1448"/>
      <c r="AI26" s="1448"/>
    </row>
    <row r="27" spans="1:35" ht="56.45" customHeight="1">
      <c r="A27" s="1701"/>
      <c r="B27" s="1703"/>
      <c r="C27" s="1703"/>
      <c r="D27" s="1703"/>
      <c r="E27" s="791" t="s">
        <v>1050</v>
      </c>
      <c r="F27" s="963" t="s">
        <v>1051</v>
      </c>
      <c r="G27" s="1099">
        <f>H27+I27</f>
        <v>525000</v>
      </c>
      <c r="H27" s="1099">
        <v>214000</v>
      </c>
      <c r="I27" s="1099">
        <v>311000</v>
      </c>
      <c r="J27" s="1099">
        <v>311000</v>
      </c>
      <c r="K27" s="1543">
        <f t="shared" si="0"/>
        <v>525000</v>
      </c>
      <c r="L27" s="1543">
        <f>G27-H27-I27</f>
        <v>0</v>
      </c>
      <c r="M27" s="1543">
        <f t="shared" si="2"/>
        <v>0</v>
      </c>
      <c r="N27" s="1448"/>
      <c r="O27" s="1448"/>
      <c r="P27" s="1448"/>
      <c r="Q27" s="1448"/>
      <c r="R27" s="1448"/>
      <c r="S27" s="1448"/>
      <c r="T27" s="1448"/>
      <c r="U27" s="1448"/>
      <c r="V27" s="1448"/>
      <c r="W27" s="1448"/>
      <c r="X27" s="1448"/>
      <c r="Y27" s="1448"/>
      <c r="Z27" s="1448"/>
      <c r="AA27" s="1448"/>
      <c r="AB27" s="1448"/>
      <c r="AC27" s="1448"/>
      <c r="AD27" s="1448"/>
      <c r="AE27" s="1448"/>
      <c r="AF27" s="1448"/>
      <c r="AG27" s="1448"/>
      <c r="AH27" s="1448"/>
      <c r="AI27" s="1448"/>
    </row>
    <row r="28" spans="1:35" ht="88.9" customHeight="1">
      <c r="A28" s="1674" t="s">
        <v>408</v>
      </c>
      <c r="B28" s="1674" t="s">
        <v>396</v>
      </c>
      <c r="C28" s="1674" t="s">
        <v>7</v>
      </c>
      <c r="D28" s="1702" t="s">
        <v>397</v>
      </c>
      <c r="E28" s="470" t="s">
        <v>2160</v>
      </c>
      <c r="F28" s="963" t="s">
        <v>1893</v>
      </c>
      <c r="G28" s="1099">
        <f>H28+I28</f>
        <v>1000000</v>
      </c>
      <c r="H28" s="1099">
        <v>571563</v>
      </c>
      <c r="I28" s="1099">
        <v>428437</v>
      </c>
      <c r="J28" s="1099"/>
      <c r="K28" s="1543">
        <f t="shared" si="0"/>
        <v>1000000</v>
      </c>
      <c r="L28" s="1448"/>
      <c r="M28" s="1543">
        <f t="shared" si="2"/>
        <v>0</v>
      </c>
      <c r="N28" s="1448"/>
      <c r="O28" s="1448"/>
      <c r="P28" s="1448"/>
      <c r="Q28" s="1448"/>
      <c r="R28" s="1448"/>
      <c r="S28" s="1448"/>
      <c r="T28" s="1448"/>
      <c r="U28" s="1448"/>
      <c r="V28" s="1448"/>
      <c r="W28" s="1448"/>
      <c r="X28" s="1448"/>
      <c r="Y28" s="1448"/>
      <c r="Z28" s="1448"/>
      <c r="AA28" s="1448"/>
      <c r="AB28" s="1448"/>
      <c r="AC28" s="1448"/>
      <c r="AD28" s="1448"/>
      <c r="AE28" s="1448"/>
      <c r="AF28" s="1448"/>
      <c r="AG28" s="1448"/>
      <c r="AH28" s="1448"/>
      <c r="AI28" s="1448"/>
    </row>
    <row r="29" spans="1:35" ht="68.45" customHeight="1">
      <c r="A29" s="1675"/>
      <c r="B29" s="1675"/>
      <c r="C29" s="1675"/>
      <c r="D29" s="1704"/>
      <c r="E29" s="470" t="s">
        <v>2159</v>
      </c>
      <c r="F29" s="964" t="s">
        <v>1894</v>
      </c>
      <c r="G29" s="1099">
        <f>H29+I29</f>
        <v>202200</v>
      </c>
      <c r="H29" s="1099">
        <v>202200</v>
      </c>
      <c r="I29" s="1099"/>
      <c r="J29" s="1099"/>
      <c r="K29" s="1543">
        <f t="shared" si="0"/>
        <v>202200</v>
      </c>
      <c r="L29" s="1448"/>
      <c r="M29" s="1543">
        <f t="shared" si="2"/>
        <v>0</v>
      </c>
      <c r="N29" s="1448"/>
      <c r="O29" s="1448"/>
      <c r="P29" s="1448"/>
      <c r="Q29" s="1448"/>
      <c r="R29" s="1448"/>
      <c r="S29" s="1448"/>
      <c r="T29" s="1448"/>
      <c r="U29" s="1448"/>
      <c r="V29" s="1448"/>
      <c r="W29" s="1448"/>
      <c r="X29" s="1448"/>
      <c r="Y29" s="1448"/>
      <c r="Z29" s="1448"/>
      <c r="AA29" s="1448"/>
      <c r="AB29" s="1448"/>
      <c r="AC29" s="1448"/>
      <c r="AD29" s="1448"/>
      <c r="AE29" s="1448"/>
      <c r="AF29" s="1448"/>
      <c r="AG29" s="1448"/>
      <c r="AH29" s="1448"/>
      <c r="AI29" s="1448"/>
    </row>
    <row r="30" spans="1:35" ht="47.25">
      <c r="A30" s="285" t="s">
        <v>409</v>
      </c>
      <c r="B30" s="285"/>
      <c r="C30" s="285"/>
      <c r="D30" s="286" t="s">
        <v>46</v>
      </c>
      <c r="E30" s="320"/>
      <c r="F30" s="965"/>
      <c r="G30" s="1098">
        <f>G31</f>
        <v>5369470</v>
      </c>
      <c r="H30" s="1098">
        <f>H31</f>
        <v>4969470</v>
      </c>
      <c r="I30" s="1098">
        <f>I31</f>
        <v>400000</v>
      </c>
      <c r="J30" s="1098">
        <f>J31</f>
        <v>400000</v>
      </c>
      <c r="K30" s="1543">
        <f t="shared" si="0"/>
        <v>5369470</v>
      </c>
      <c r="L30" s="1543">
        <f>G30-H30-I30</f>
        <v>0</v>
      </c>
      <c r="M30" s="1543">
        <f t="shared" si="2"/>
        <v>0</v>
      </c>
      <c r="N30" s="1448"/>
      <c r="O30" s="1448"/>
      <c r="P30" s="1448"/>
      <c r="Q30" s="1448"/>
      <c r="R30" s="1448"/>
      <c r="S30" s="1448"/>
      <c r="T30" s="1448"/>
      <c r="U30" s="1448"/>
      <c r="V30" s="1448"/>
      <c r="W30" s="1448"/>
      <c r="X30" s="1448"/>
      <c r="Y30" s="1448"/>
      <c r="Z30" s="1448"/>
      <c r="AA30" s="1448"/>
      <c r="AB30" s="1448"/>
      <c r="AC30" s="1448"/>
      <c r="AD30" s="1448"/>
      <c r="AE30" s="1448"/>
      <c r="AF30" s="1448"/>
      <c r="AG30" s="1448"/>
      <c r="AH30" s="1448"/>
      <c r="AI30" s="1448"/>
    </row>
    <row r="31" spans="1:35" ht="47.25">
      <c r="A31" s="285" t="s">
        <v>410</v>
      </c>
      <c r="B31" s="285"/>
      <c r="C31" s="285"/>
      <c r="D31" s="286" t="s">
        <v>46</v>
      </c>
      <c r="E31" s="320"/>
      <c r="F31" s="965"/>
      <c r="G31" s="1098">
        <f>SUM(G32:G48)</f>
        <v>5369470</v>
      </c>
      <c r="H31" s="1098">
        <f>SUM(H32:H48)</f>
        <v>4969470</v>
      </c>
      <c r="I31" s="1098">
        <f>SUM(I32:I48)</f>
        <v>400000</v>
      </c>
      <c r="J31" s="1098">
        <f>SUM(J32:J48)</f>
        <v>400000</v>
      </c>
      <c r="K31" s="1543">
        <f t="shared" si="0"/>
        <v>5369470</v>
      </c>
      <c r="L31" s="1543">
        <f>G31-H31-I31</f>
        <v>0</v>
      </c>
      <c r="M31" s="1543">
        <f t="shared" si="2"/>
        <v>0</v>
      </c>
      <c r="N31" s="1448"/>
      <c r="O31" s="1448"/>
      <c r="P31" s="1448"/>
      <c r="Q31" s="1448"/>
      <c r="R31" s="1448"/>
      <c r="S31" s="1448"/>
      <c r="T31" s="1448"/>
      <c r="U31" s="1448"/>
      <c r="V31" s="1448"/>
      <c r="W31" s="1448"/>
      <c r="X31" s="1448"/>
      <c r="Y31" s="1448"/>
      <c r="Z31" s="1448"/>
      <c r="AA31" s="1448"/>
      <c r="AB31" s="1448"/>
      <c r="AC31" s="1448"/>
      <c r="AD31" s="1448"/>
      <c r="AE31" s="1448"/>
      <c r="AF31" s="1448"/>
      <c r="AG31" s="1448"/>
      <c r="AH31" s="1448"/>
      <c r="AI31" s="1448"/>
    </row>
    <row r="32" spans="1:35" ht="63">
      <c r="A32" s="42" t="s">
        <v>411</v>
      </c>
      <c r="B32" s="42" t="s">
        <v>11</v>
      </c>
      <c r="C32" s="42" t="s">
        <v>12</v>
      </c>
      <c r="D32" s="41" t="s">
        <v>259</v>
      </c>
      <c r="E32" s="323" t="s">
        <v>1174</v>
      </c>
      <c r="F32" s="960" t="s">
        <v>1173</v>
      </c>
      <c r="G32" s="1099">
        <f t="shared" ref="G32:G48" si="3">H32+I32</f>
        <v>947520</v>
      </c>
      <c r="H32" s="1099">
        <v>947520</v>
      </c>
      <c r="I32" s="1099"/>
      <c r="J32" s="1099"/>
      <c r="K32" s="1543">
        <f t="shared" si="0"/>
        <v>947520</v>
      </c>
      <c r="L32" s="1543">
        <f>G32-H32-I32</f>
        <v>0</v>
      </c>
      <c r="M32" s="1543">
        <f t="shared" si="2"/>
        <v>0</v>
      </c>
      <c r="N32" s="1448"/>
      <c r="O32" s="1448"/>
      <c r="P32" s="1448"/>
      <c r="Q32" s="1448"/>
      <c r="R32" s="1448"/>
      <c r="S32" s="1448"/>
      <c r="T32" s="1448"/>
      <c r="U32" s="1448"/>
      <c r="V32" s="1448"/>
      <c r="W32" s="1448"/>
      <c r="X32" s="1448"/>
      <c r="Y32" s="1448"/>
      <c r="Z32" s="1448"/>
      <c r="AA32" s="1448"/>
      <c r="AB32" s="1448"/>
      <c r="AC32" s="1448"/>
      <c r="AD32" s="1448"/>
      <c r="AE32" s="1448"/>
      <c r="AF32" s="1448"/>
      <c r="AG32" s="1448"/>
      <c r="AH32" s="1448"/>
      <c r="AI32" s="1448"/>
    </row>
    <row r="33" spans="1:35" s="17" customFormat="1" ht="31.15" hidden="1" customHeight="1">
      <c r="A33" s="42" t="s">
        <v>412</v>
      </c>
      <c r="B33" s="42" t="s">
        <v>13</v>
      </c>
      <c r="C33" s="42" t="s">
        <v>12</v>
      </c>
      <c r="D33" s="41" t="s">
        <v>14</v>
      </c>
      <c r="E33" s="50"/>
      <c r="F33" s="966"/>
      <c r="G33" s="1099">
        <f t="shared" si="3"/>
        <v>0</v>
      </c>
      <c r="H33" s="1099"/>
      <c r="I33" s="1099"/>
      <c r="J33" s="1099"/>
      <c r="K33" s="568">
        <f t="shared" si="0"/>
        <v>0</v>
      </c>
    </row>
    <row r="34" spans="1:35" ht="106.5" customHeight="1">
      <c r="A34" s="42" t="s">
        <v>413</v>
      </c>
      <c r="B34" s="42" t="s">
        <v>15</v>
      </c>
      <c r="C34" s="42" t="s">
        <v>12</v>
      </c>
      <c r="D34" s="41" t="s">
        <v>16</v>
      </c>
      <c r="E34" s="323" t="s">
        <v>1174</v>
      </c>
      <c r="F34" s="960" t="s">
        <v>1173</v>
      </c>
      <c r="G34" s="1099">
        <f t="shared" si="3"/>
        <v>1252080</v>
      </c>
      <c r="H34" s="1099">
        <v>1252080</v>
      </c>
      <c r="I34" s="1099"/>
      <c r="J34" s="1099"/>
      <c r="K34" s="1543">
        <f t="shared" si="0"/>
        <v>1252080</v>
      </c>
      <c r="L34" s="1543">
        <f>G34-H34-I34</f>
        <v>0</v>
      </c>
      <c r="M34" s="1543">
        <f>G34-I34-H34</f>
        <v>0</v>
      </c>
      <c r="N34" s="1448"/>
      <c r="O34" s="1448"/>
      <c r="P34" s="1448"/>
      <c r="Q34" s="1448"/>
      <c r="R34" s="1448"/>
      <c r="S34" s="1448"/>
      <c r="T34" s="1448"/>
      <c r="U34" s="1448"/>
      <c r="V34" s="1448"/>
      <c r="W34" s="1448"/>
      <c r="X34" s="1448"/>
      <c r="Y34" s="1448"/>
      <c r="Z34" s="1448"/>
      <c r="AA34" s="1448"/>
      <c r="AB34" s="1448"/>
      <c r="AC34" s="1448"/>
      <c r="AD34" s="1448"/>
      <c r="AE34" s="1448"/>
      <c r="AF34" s="1448"/>
      <c r="AG34" s="1448"/>
      <c r="AH34" s="1448"/>
      <c r="AI34" s="1448"/>
    </row>
    <row r="35" spans="1:35" ht="141.75">
      <c r="A35" s="42" t="s">
        <v>414</v>
      </c>
      <c r="B35" s="42" t="s">
        <v>17</v>
      </c>
      <c r="C35" s="42" t="s">
        <v>12</v>
      </c>
      <c r="D35" s="41" t="s">
        <v>358</v>
      </c>
      <c r="E35" s="323" t="s">
        <v>1039</v>
      </c>
      <c r="F35" s="329" t="s">
        <v>1947</v>
      </c>
      <c r="G35" s="1099">
        <f t="shared" si="3"/>
        <v>913970</v>
      </c>
      <c r="H35" s="1099">
        <v>913970</v>
      </c>
      <c r="I35" s="1099"/>
      <c r="J35" s="1099"/>
      <c r="K35" s="1543">
        <f t="shared" si="0"/>
        <v>913970</v>
      </c>
      <c r="L35" s="1543">
        <f>G35-H35-I35</f>
        <v>0</v>
      </c>
      <c r="M35" s="1543">
        <f>G35-I35-H35</f>
        <v>0</v>
      </c>
      <c r="N35" s="1448"/>
      <c r="O35" s="1448"/>
      <c r="P35" s="1448"/>
      <c r="Q35" s="1448"/>
      <c r="R35" s="1448"/>
      <c r="S35" s="1448"/>
      <c r="T35" s="1448"/>
      <c r="U35" s="1448"/>
      <c r="V35" s="1448"/>
      <c r="W35" s="1448"/>
      <c r="X35" s="1448"/>
      <c r="Y35" s="1448"/>
      <c r="Z35" s="1448"/>
      <c r="AA35" s="1448"/>
      <c r="AB35" s="1448"/>
      <c r="AC35" s="1448"/>
      <c r="AD35" s="1448"/>
      <c r="AE35" s="1448"/>
      <c r="AF35" s="1448"/>
      <c r="AG35" s="1448"/>
      <c r="AH35" s="1448"/>
      <c r="AI35" s="1448"/>
    </row>
    <row r="36" spans="1:35" s="17" customFormat="1" ht="78" customHeight="1">
      <c r="A36" s="42" t="s">
        <v>415</v>
      </c>
      <c r="B36" s="42" t="s">
        <v>5</v>
      </c>
      <c r="C36" s="42" t="s">
        <v>18</v>
      </c>
      <c r="D36" s="41" t="s">
        <v>217</v>
      </c>
      <c r="E36" s="323" t="s">
        <v>1948</v>
      </c>
      <c r="F36" s="329" t="s">
        <v>1949</v>
      </c>
      <c r="G36" s="1142">
        <f t="shared" si="3"/>
        <v>19500</v>
      </c>
      <c r="H36" s="1142">
        <v>19500</v>
      </c>
      <c r="I36" s="1142"/>
      <c r="J36" s="1099"/>
      <c r="K36" s="1543">
        <f t="shared" si="0"/>
        <v>19500</v>
      </c>
      <c r="L36" s="1448"/>
      <c r="M36" s="1448"/>
      <c r="N36" s="1448"/>
      <c r="O36" s="1448"/>
      <c r="P36" s="1448"/>
      <c r="Q36" s="1448"/>
      <c r="R36" s="1448"/>
      <c r="S36" s="1448"/>
      <c r="T36" s="1448"/>
      <c r="U36" s="1448"/>
      <c r="V36" s="1448"/>
      <c r="W36" s="1448"/>
      <c r="X36" s="1448"/>
      <c r="Y36" s="1448"/>
      <c r="Z36" s="1448"/>
      <c r="AA36" s="1448"/>
      <c r="AB36" s="1448"/>
      <c r="AC36" s="1448"/>
      <c r="AD36" s="1448"/>
      <c r="AE36" s="1448"/>
      <c r="AF36" s="1448"/>
      <c r="AG36" s="1448"/>
      <c r="AH36" s="1448"/>
      <c r="AI36" s="1448"/>
    </row>
    <row r="37" spans="1:35" s="17" customFormat="1" ht="31.15" hidden="1" customHeight="1">
      <c r="A37" s="42" t="s">
        <v>419</v>
      </c>
      <c r="B37" s="42" t="s">
        <v>420</v>
      </c>
      <c r="C37" s="42" t="s">
        <v>19</v>
      </c>
      <c r="D37" s="41" t="s">
        <v>321</v>
      </c>
      <c r="E37" s="316"/>
      <c r="F37" s="327"/>
      <c r="G37" s="1099">
        <f t="shared" si="3"/>
        <v>0</v>
      </c>
      <c r="H37" s="1099"/>
      <c r="I37" s="1099"/>
      <c r="J37" s="1099"/>
      <c r="K37" s="568">
        <f t="shared" si="0"/>
        <v>0</v>
      </c>
    </row>
    <row r="38" spans="1:35" s="17" customFormat="1" ht="65.45" customHeight="1">
      <c r="A38" s="42" t="s">
        <v>416</v>
      </c>
      <c r="B38" s="42" t="s">
        <v>20</v>
      </c>
      <c r="C38" s="42" t="s">
        <v>21</v>
      </c>
      <c r="D38" s="41" t="s">
        <v>421</v>
      </c>
      <c r="E38" s="323" t="s">
        <v>1948</v>
      </c>
      <c r="F38" s="329" t="s">
        <v>1949</v>
      </c>
      <c r="G38" s="1142">
        <f>H38+I38</f>
        <v>250000</v>
      </c>
      <c r="H38" s="1142">
        <v>250000</v>
      </c>
      <c r="I38" s="1142"/>
      <c r="J38" s="1099"/>
      <c r="K38" s="1543">
        <f t="shared" si="0"/>
        <v>250000</v>
      </c>
      <c r="L38" s="1448"/>
      <c r="M38" s="1448"/>
      <c r="N38" s="1448"/>
      <c r="O38" s="1448"/>
      <c r="P38" s="1448"/>
      <c r="Q38" s="1448"/>
      <c r="R38" s="1448"/>
      <c r="S38" s="1448"/>
      <c r="T38" s="1448"/>
      <c r="U38" s="1448"/>
      <c r="V38" s="1448"/>
      <c r="W38" s="1448"/>
      <c r="X38" s="1448"/>
      <c r="Y38" s="1448"/>
      <c r="Z38" s="1448"/>
      <c r="AA38" s="1448"/>
      <c r="AB38" s="1448"/>
      <c r="AC38" s="1448"/>
      <c r="AD38" s="1448"/>
      <c r="AE38" s="1448"/>
      <c r="AF38" s="1448"/>
      <c r="AG38" s="1448"/>
      <c r="AH38" s="1448"/>
      <c r="AI38" s="1448"/>
    </row>
    <row r="39" spans="1:35" s="17" customFormat="1" ht="31.15" hidden="1" customHeight="1">
      <c r="A39" s="42" t="s">
        <v>417</v>
      </c>
      <c r="B39" s="42" t="s">
        <v>8</v>
      </c>
      <c r="C39" s="42" t="s">
        <v>9</v>
      </c>
      <c r="D39" s="41" t="s">
        <v>403</v>
      </c>
      <c r="E39" s="316"/>
      <c r="F39" s="327"/>
      <c r="G39" s="1099">
        <f t="shared" si="3"/>
        <v>0</v>
      </c>
      <c r="H39" s="1099"/>
      <c r="I39" s="1099"/>
      <c r="J39" s="1099"/>
      <c r="K39" s="568">
        <f t="shared" si="0"/>
        <v>0</v>
      </c>
    </row>
    <row r="40" spans="1:35" s="17" customFormat="1" ht="42" hidden="1" customHeight="1">
      <c r="A40" s="42" t="s">
        <v>422</v>
      </c>
      <c r="B40" s="42" t="s">
        <v>68</v>
      </c>
      <c r="C40" s="42" t="s">
        <v>291</v>
      </c>
      <c r="D40" s="41" t="s">
        <v>423</v>
      </c>
      <c r="E40" s="316"/>
      <c r="F40" s="327"/>
      <c r="G40" s="1099">
        <f t="shared" si="3"/>
        <v>0</v>
      </c>
      <c r="H40" s="1099"/>
      <c r="I40" s="1099"/>
      <c r="J40" s="1099"/>
      <c r="K40" s="568">
        <f t="shared" si="0"/>
        <v>0</v>
      </c>
    </row>
    <row r="41" spans="1:35" s="17" customFormat="1" ht="141.75">
      <c r="A41" s="1015" t="s">
        <v>414</v>
      </c>
      <c r="B41" s="1015" t="s">
        <v>17</v>
      </c>
      <c r="C41" s="1015" t="s">
        <v>12</v>
      </c>
      <c r="D41" s="1022" t="s">
        <v>358</v>
      </c>
      <c r="E41" s="323" t="s">
        <v>1948</v>
      </c>
      <c r="F41" s="329" t="s">
        <v>1949</v>
      </c>
      <c r="G41" s="1099">
        <f t="shared" si="3"/>
        <v>30000</v>
      </c>
      <c r="H41" s="1099">
        <v>30000</v>
      </c>
      <c r="I41" s="1099"/>
      <c r="J41" s="1099"/>
      <c r="K41" s="1543">
        <f t="shared" si="0"/>
        <v>30000</v>
      </c>
      <c r="L41" s="1448"/>
      <c r="M41" s="1448"/>
      <c r="N41" s="1448"/>
      <c r="O41" s="1448"/>
      <c r="P41" s="1448"/>
      <c r="Q41" s="1448"/>
      <c r="R41" s="1448"/>
      <c r="S41" s="1448"/>
      <c r="T41" s="1448"/>
      <c r="U41" s="1448"/>
      <c r="V41" s="1448"/>
      <c r="W41" s="1448"/>
      <c r="X41" s="1448"/>
      <c r="Y41" s="1448"/>
      <c r="Z41" s="1448"/>
      <c r="AA41" s="1448"/>
      <c r="AB41" s="1448"/>
      <c r="AC41" s="1448"/>
      <c r="AD41" s="1448"/>
      <c r="AE41" s="1448"/>
      <c r="AF41" s="1448"/>
      <c r="AG41" s="1448"/>
      <c r="AH41" s="1448"/>
      <c r="AI41" s="1448"/>
    </row>
    <row r="42" spans="1:35" s="17" customFormat="1" ht="109.5" hidden="1" customHeight="1">
      <c r="A42" s="293" t="s">
        <v>424</v>
      </c>
      <c r="B42" s="293" t="s">
        <v>425</v>
      </c>
      <c r="C42" s="293" t="s">
        <v>291</v>
      </c>
      <c r="D42" s="45" t="s">
        <v>426</v>
      </c>
      <c r="E42" s="316"/>
      <c r="F42" s="327"/>
      <c r="G42" s="1099">
        <f t="shared" si="3"/>
        <v>0</v>
      </c>
      <c r="H42" s="1099"/>
      <c r="I42" s="1099"/>
      <c r="J42" s="1099"/>
      <c r="K42" s="568">
        <f t="shared" si="0"/>
        <v>0</v>
      </c>
    </row>
    <row r="43" spans="1:35" s="55" customFormat="1" ht="70.150000000000006" customHeight="1">
      <c r="A43" s="293" t="s">
        <v>427</v>
      </c>
      <c r="B43" s="293" t="s">
        <v>428</v>
      </c>
      <c r="C43" s="293" t="s">
        <v>291</v>
      </c>
      <c r="D43" s="41" t="s">
        <v>429</v>
      </c>
      <c r="E43" s="1286" t="s">
        <v>1963</v>
      </c>
      <c r="F43" s="97" t="s">
        <v>1964</v>
      </c>
      <c r="G43" s="1099">
        <f t="shared" si="3"/>
        <v>1000000</v>
      </c>
      <c r="H43" s="1099">
        <v>600000</v>
      </c>
      <c r="I43" s="1099">
        <v>400000</v>
      </c>
      <c r="J43" s="1099">
        <v>400000</v>
      </c>
      <c r="K43" s="1543">
        <f t="shared" si="0"/>
        <v>1000000</v>
      </c>
      <c r="L43" s="1448"/>
      <c r="M43" s="1448"/>
      <c r="N43" s="1448"/>
      <c r="O43" s="1448"/>
      <c r="P43" s="1448"/>
      <c r="Q43" s="1448"/>
      <c r="R43" s="1448"/>
      <c r="S43" s="1448"/>
      <c r="T43" s="1448"/>
      <c r="U43" s="1448"/>
      <c r="V43" s="1448"/>
      <c r="W43" s="1448"/>
      <c r="X43" s="1448"/>
      <c r="Y43" s="1448"/>
      <c r="Z43" s="1448"/>
      <c r="AA43" s="1448"/>
      <c r="AB43" s="1448"/>
      <c r="AC43" s="1448"/>
      <c r="AD43" s="1448"/>
      <c r="AE43" s="1448"/>
      <c r="AF43" s="1448"/>
      <c r="AG43" s="1448"/>
      <c r="AH43" s="1448"/>
      <c r="AI43" s="1448"/>
    </row>
    <row r="44" spans="1:35" ht="57" hidden="1" customHeight="1">
      <c r="A44" s="293" t="s">
        <v>418</v>
      </c>
      <c r="B44" s="293" t="s">
        <v>350</v>
      </c>
      <c r="C44" s="293" t="s">
        <v>293</v>
      </c>
      <c r="D44" s="45" t="s">
        <v>47</v>
      </c>
      <c r="E44" s="322" t="s">
        <v>794</v>
      </c>
      <c r="F44" s="444"/>
      <c r="G44" s="1099">
        <f t="shared" si="3"/>
        <v>0</v>
      </c>
      <c r="H44" s="1100"/>
      <c r="I44" s="1100"/>
      <c r="J44" s="1100"/>
      <c r="K44" s="568">
        <f t="shared" si="0"/>
        <v>0</v>
      </c>
      <c r="M44" s="568">
        <f>G44-I44-H44</f>
        <v>0</v>
      </c>
    </row>
    <row r="45" spans="1:35" ht="63">
      <c r="A45" s="42" t="s">
        <v>760</v>
      </c>
      <c r="B45" s="42" t="s">
        <v>761</v>
      </c>
      <c r="C45" s="42" t="s">
        <v>7</v>
      </c>
      <c r="D45" s="41" t="s">
        <v>762</v>
      </c>
      <c r="E45" s="461" t="s">
        <v>1045</v>
      </c>
      <c r="F45" s="960" t="s">
        <v>1172</v>
      </c>
      <c r="G45" s="1099">
        <f t="shared" si="3"/>
        <v>956400</v>
      </c>
      <c r="H45" s="1099">
        <v>956400</v>
      </c>
      <c r="I45" s="1099"/>
      <c r="J45" s="1099"/>
      <c r="K45" s="1543">
        <f t="shared" si="0"/>
        <v>956400</v>
      </c>
      <c r="L45" s="1448"/>
      <c r="M45" s="1543">
        <f>G45-I45-H45</f>
        <v>0</v>
      </c>
      <c r="N45" s="1448"/>
      <c r="O45" s="1448"/>
      <c r="P45" s="1448"/>
      <c r="Q45" s="1448"/>
      <c r="R45" s="1448"/>
      <c r="S45" s="1448"/>
      <c r="T45" s="1448"/>
      <c r="U45" s="1448"/>
      <c r="V45" s="1448"/>
      <c r="W45" s="1448"/>
      <c r="X45" s="1448"/>
      <c r="Y45" s="1448"/>
      <c r="Z45" s="1448"/>
      <c r="AA45" s="1448"/>
      <c r="AB45" s="1448"/>
      <c r="AC45" s="1448"/>
      <c r="AD45" s="1448"/>
      <c r="AE45" s="1448"/>
      <c r="AF45" s="1448"/>
      <c r="AG45" s="1448"/>
      <c r="AH45" s="1448"/>
      <c r="AI45" s="1448"/>
    </row>
    <row r="46" spans="1:35" s="17" customFormat="1" ht="63" hidden="1">
      <c r="A46" s="42" t="s">
        <v>430</v>
      </c>
      <c r="B46" s="42" t="s">
        <v>431</v>
      </c>
      <c r="C46" s="42" t="s">
        <v>7</v>
      </c>
      <c r="D46" s="41" t="s">
        <v>432</v>
      </c>
      <c r="E46" s="317"/>
      <c r="F46" s="967"/>
      <c r="G46" s="1099">
        <f t="shared" si="3"/>
        <v>0</v>
      </c>
      <c r="H46" s="1099"/>
      <c r="I46" s="1099"/>
      <c r="J46" s="1099"/>
      <c r="K46" s="568">
        <f t="shared" si="0"/>
        <v>0</v>
      </c>
    </row>
    <row r="47" spans="1:35" s="17" customFormat="1" ht="78.75" hidden="1">
      <c r="A47" s="42" t="s">
        <v>433</v>
      </c>
      <c r="B47" s="39">
        <v>9330</v>
      </c>
      <c r="C47" s="42" t="s">
        <v>7</v>
      </c>
      <c r="D47" s="43" t="s">
        <v>434</v>
      </c>
      <c r="E47" s="323"/>
      <c r="F47" s="329"/>
      <c r="G47" s="1099">
        <f t="shared" si="3"/>
        <v>0</v>
      </c>
      <c r="H47" s="1101"/>
      <c r="I47" s="1101"/>
      <c r="J47" s="1101"/>
      <c r="K47" s="568">
        <f t="shared" si="0"/>
        <v>0</v>
      </c>
    </row>
    <row r="48" spans="1:35" ht="45" hidden="1">
      <c r="A48" s="42" t="s">
        <v>728</v>
      </c>
      <c r="B48" s="42" t="s">
        <v>401</v>
      </c>
      <c r="C48" s="42" t="s">
        <v>7</v>
      </c>
      <c r="D48" s="40" t="s">
        <v>474</v>
      </c>
      <c r="E48" s="461" t="s">
        <v>817</v>
      </c>
      <c r="F48" s="961"/>
      <c r="G48" s="1099">
        <f t="shared" si="3"/>
        <v>0</v>
      </c>
      <c r="H48" s="1101"/>
      <c r="I48" s="1101"/>
      <c r="J48" s="1101"/>
      <c r="K48" s="568">
        <f t="shared" si="0"/>
        <v>0</v>
      </c>
      <c r="M48" s="568">
        <f>G48-I48-H48</f>
        <v>0</v>
      </c>
    </row>
    <row r="49" spans="1:35" ht="47.25">
      <c r="A49" s="287" t="s">
        <v>435</v>
      </c>
      <c r="B49" s="287"/>
      <c r="C49" s="287"/>
      <c r="D49" s="286" t="s">
        <v>295</v>
      </c>
      <c r="E49" s="324"/>
      <c r="F49" s="968"/>
      <c r="G49" s="1102">
        <f>+G51+G53+G54+G57+G59+G60+G61+G63+G65+G66+G70+G69+G67+G72+G68+G62+G58+G73+G74+G75+G76+G52+G55+G71+G56+G64</f>
        <v>44273500</v>
      </c>
      <c r="H49" s="1102">
        <f>+H51+H53+H54+H57+H59+H60+H61+H63+H65+H66+H70+H69+H67+H72+H68+H62+H58+H73+H74+H75+H76+H52+H55+H71+H56+H64</f>
        <v>42413500</v>
      </c>
      <c r="I49" s="1102">
        <f>+I51+I53+I54+I57+I59+I60+I61+I63+I65+I66+I70+I69+I67+I72+I68+I62+I58+I73+I74+I75+I76+I52+I55+I71+I56+I64</f>
        <v>1860000</v>
      </c>
      <c r="J49" s="1102">
        <f>+J51+J53+J54+J57+J59+J60+J61+J63+J65+J66+J70+J69+J67+J72+J68+J62+J58+J73+J74+J75+J76+J52+J55+J71+J56+J64</f>
        <v>1860000</v>
      </c>
      <c r="K49" s="1543">
        <f t="shared" si="0"/>
        <v>44273500</v>
      </c>
      <c r="L49" s="1543">
        <f>G49-H49-I49</f>
        <v>0</v>
      </c>
      <c r="M49" s="1543">
        <f>G49-I49-H49</f>
        <v>0</v>
      </c>
      <c r="N49" s="1448"/>
      <c r="O49" s="1448"/>
      <c r="P49" s="1448"/>
      <c r="Q49" s="1448"/>
      <c r="R49" s="1448"/>
      <c r="S49" s="1448"/>
      <c r="T49" s="1448"/>
      <c r="U49" s="1448"/>
      <c r="V49" s="1448"/>
      <c r="W49" s="1448"/>
      <c r="X49" s="1448"/>
      <c r="Y49" s="1448"/>
      <c r="Z49" s="1448"/>
      <c r="AA49" s="1448"/>
      <c r="AB49" s="1448"/>
      <c r="AC49" s="1448"/>
      <c r="AD49" s="1448"/>
      <c r="AE49" s="1448"/>
      <c r="AF49" s="1448"/>
      <c r="AG49" s="1448"/>
      <c r="AH49" s="1448"/>
      <c r="AI49" s="1448"/>
    </row>
    <row r="50" spans="1:35" ht="47.25">
      <c r="A50" s="287" t="s">
        <v>436</v>
      </c>
      <c r="B50" s="287"/>
      <c r="C50" s="287"/>
      <c r="D50" s="286" t="s">
        <v>295</v>
      </c>
      <c r="E50" s="324"/>
      <c r="F50" s="968"/>
      <c r="G50" s="1102">
        <f>SUBTOTAL(9,G52:G70)</f>
        <v>44273500</v>
      </c>
      <c r="H50" s="1102">
        <f>SUBTOTAL(9,H52:H70)</f>
        <v>42413500</v>
      </c>
      <c r="I50" s="1102">
        <f>SUBTOTAL(9,I52:I70)</f>
        <v>1860000</v>
      </c>
      <c r="J50" s="1102">
        <f>SUBTOTAL(9,J52:J70)</f>
        <v>1860000</v>
      </c>
      <c r="K50" s="1543">
        <f t="shared" si="0"/>
        <v>44273500</v>
      </c>
      <c r="L50" s="1543">
        <f>G50-H50-I50</f>
        <v>0</v>
      </c>
      <c r="M50" s="1543">
        <f>G50-I50-H50</f>
        <v>0</v>
      </c>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c r="AI50" s="1448"/>
    </row>
    <row r="51" spans="1:35" s="17" customFormat="1" ht="47.25" hidden="1">
      <c r="A51" s="42" t="s">
        <v>437</v>
      </c>
      <c r="B51" s="42" t="s">
        <v>20</v>
      </c>
      <c r="C51" s="42" t="s">
        <v>21</v>
      </c>
      <c r="D51" s="41" t="s">
        <v>421</v>
      </c>
      <c r="E51" s="325"/>
      <c r="F51" s="969"/>
      <c r="G51" s="1099">
        <f t="shared" ref="G51:G76" si="4">H51+I51</f>
        <v>0</v>
      </c>
      <c r="H51" s="1103"/>
      <c r="I51" s="1103"/>
      <c r="J51" s="1103"/>
      <c r="K51" s="568">
        <f t="shared" si="0"/>
        <v>0</v>
      </c>
    </row>
    <row r="52" spans="1:35" s="17" customFormat="1" ht="46.9" customHeight="1">
      <c r="A52" s="42" t="s">
        <v>637</v>
      </c>
      <c r="B52" s="42" t="s">
        <v>638</v>
      </c>
      <c r="C52" s="42" t="s">
        <v>639</v>
      </c>
      <c r="D52" s="41" t="s">
        <v>640</v>
      </c>
      <c r="E52" s="323" t="s">
        <v>1948</v>
      </c>
      <c r="F52" s="329" t="s">
        <v>1949</v>
      </c>
      <c r="G52" s="1099">
        <f t="shared" si="4"/>
        <v>20000</v>
      </c>
      <c r="H52" s="1103">
        <v>20000</v>
      </c>
      <c r="I52" s="1103"/>
      <c r="J52" s="1103"/>
      <c r="K52" s="1543">
        <f t="shared" si="0"/>
        <v>20000</v>
      </c>
      <c r="L52" s="1448"/>
      <c r="M52" s="1448"/>
      <c r="N52" s="1448"/>
      <c r="O52" s="1448"/>
      <c r="P52" s="1448"/>
      <c r="Q52" s="1448"/>
      <c r="R52" s="1448"/>
      <c r="S52" s="1448"/>
      <c r="T52" s="1448"/>
      <c r="U52" s="1448"/>
      <c r="V52" s="1448"/>
      <c r="W52" s="1448"/>
      <c r="X52" s="1448"/>
      <c r="Y52" s="1448"/>
      <c r="Z52" s="1448"/>
      <c r="AA52" s="1448"/>
      <c r="AB52" s="1448"/>
      <c r="AC52" s="1448"/>
      <c r="AD52" s="1448"/>
      <c r="AE52" s="1448"/>
      <c r="AF52" s="1448"/>
      <c r="AG52" s="1448"/>
      <c r="AH52" s="1448"/>
      <c r="AI52" s="1448"/>
    </row>
    <row r="53" spans="1:35" s="17" customFormat="1" ht="47.25" hidden="1">
      <c r="A53" s="42" t="s">
        <v>445</v>
      </c>
      <c r="B53" s="42" t="s">
        <v>8</v>
      </c>
      <c r="C53" s="42" t="s">
        <v>9</v>
      </c>
      <c r="D53" s="41" t="s">
        <v>69</v>
      </c>
      <c r="E53" s="325"/>
      <c r="F53" s="969"/>
      <c r="G53" s="1099">
        <f t="shared" si="4"/>
        <v>0</v>
      </c>
      <c r="H53" s="1103"/>
      <c r="I53" s="1103"/>
      <c r="J53" s="1103"/>
      <c r="K53" s="568">
        <f t="shared" si="0"/>
        <v>0</v>
      </c>
    </row>
    <row r="54" spans="1:35" ht="66" customHeight="1">
      <c r="A54" s="1674" t="s">
        <v>438</v>
      </c>
      <c r="B54" s="1674" t="s">
        <v>70</v>
      </c>
      <c r="C54" s="1674" t="s">
        <v>123</v>
      </c>
      <c r="D54" s="1702" t="s">
        <v>71</v>
      </c>
      <c r="E54" s="407" t="s">
        <v>1033</v>
      </c>
      <c r="F54" s="970" t="s">
        <v>1034</v>
      </c>
      <c r="G54" s="1099">
        <f t="shared" si="4"/>
        <v>39309500</v>
      </c>
      <c r="H54" s="1104">
        <v>39309500</v>
      </c>
      <c r="I54" s="1103"/>
      <c r="J54" s="1103"/>
      <c r="K54" s="1543">
        <f t="shared" si="0"/>
        <v>39309500</v>
      </c>
      <c r="L54" s="1543">
        <f>G54-H54-I54</f>
        <v>0</v>
      </c>
      <c r="M54" s="1543">
        <f>G54-I54-H54</f>
        <v>0</v>
      </c>
      <c r="N54" s="1448"/>
      <c r="O54" s="1448"/>
      <c r="P54" s="1448"/>
      <c r="Q54" s="1448"/>
      <c r="R54" s="1448"/>
      <c r="S54" s="1448"/>
      <c r="T54" s="1448"/>
      <c r="U54" s="1448"/>
      <c r="V54" s="1448"/>
      <c r="W54" s="1448"/>
      <c r="X54" s="1448"/>
      <c r="Y54" s="1448"/>
      <c r="Z54" s="1448"/>
      <c r="AA54" s="1448"/>
      <c r="AB54" s="1448"/>
      <c r="AC54" s="1448"/>
      <c r="AD54" s="1448"/>
      <c r="AE54" s="1448"/>
      <c r="AF54" s="1448"/>
      <c r="AG54" s="1448"/>
      <c r="AH54" s="1448"/>
      <c r="AI54" s="1448"/>
    </row>
    <row r="55" spans="1:35" ht="47.25">
      <c r="A55" s="1696"/>
      <c r="B55" s="1696"/>
      <c r="C55" s="1696"/>
      <c r="D55" s="1703"/>
      <c r="E55" s="307" t="s">
        <v>797</v>
      </c>
      <c r="F55" s="971" t="s">
        <v>1035</v>
      </c>
      <c r="G55" s="1099">
        <f t="shared" si="4"/>
        <v>733900</v>
      </c>
      <c r="H55" s="1104">
        <v>733900</v>
      </c>
      <c r="I55" s="1103"/>
      <c r="J55" s="1103"/>
      <c r="K55" s="1543">
        <f t="shared" si="0"/>
        <v>733900</v>
      </c>
      <c r="L55" s="1543">
        <f>G55-H55-I55</f>
        <v>0</v>
      </c>
      <c r="M55" s="1543">
        <f>G55-I55-H55</f>
        <v>0</v>
      </c>
      <c r="N55" s="1448"/>
      <c r="O55" s="1448"/>
      <c r="P55" s="1448"/>
      <c r="Q55" s="1448"/>
      <c r="R55" s="1448"/>
      <c r="S55" s="1448"/>
      <c r="T55" s="1448"/>
      <c r="U55" s="1448"/>
      <c r="V55" s="1448"/>
      <c r="W55" s="1448"/>
      <c r="X55" s="1448"/>
      <c r="Y55" s="1448"/>
      <c r="Z55" s="1448"/>
      <c r="AA55" s="1448"/>
      <c r="AB55" s="1448"/>
      <c r="AC55" s="1448"/>
      <c r="AD55" s="1448"/>
      <c r="AE55" s="1448"/>
      <c r="AF55" s="1448"/>
      <c r="AG55" s="1448"/>
      <c r="AH55" s="1448"/>
      <c r="AI55" s="1448"/>
    </row>
    <row r="56" spans="1:35" ht="63">
      <c r="A56" s="1675"/>
      <c r="B56" s="1675"/>
      <c r="C56" s="1675"/>
      <c r="D56" s="1704"/>
      <c r="E56" s="323" t="s">
        <v>1948</v>
      </c>
      <c r="F56" s="329" t="s">
        <v>1949</v>
      </c>
      <c r="G56" s="1099">
        <f t="shared" si="4"/>
        <v>56680</v>
      </c>
      <c r="H56" s="1104">
        <f>26680+30000</f>
        <v>56680</v>
      </c>
      <c r="I56" s="1103"/>
      <c r="J56" s="1103"/>
      <c r="K56" s="1543">
        <f t="shared" si="0"/>
        <v>56680</v>
      </c>
      <c r="L56" s="1543"/>
      <c r="M56" s="1543"/>
      <c r="N56" s="1448"/>
      <c r="O56" s="1448"/>
      <c r="P56" s="1448"/>
      <c r="Q56" s="1448"/>
      <c r="R56" s="1448"/>
      <c r="S56" s="1448"/>
      <c r="T56" s="1448"/>
      <c r="U56" s="1448"/>
      <c r="V56" s="1448"/>
      <c r="W56" s="1448"/>
      <c r="X56" s="1448"/>
      <c r="Y56" s="1448"/>
      <c r="Z56" s="1448"/>
      <c r="AA56" s="1448"/>
      <c r="AB56" s="1448"/>
      <c r="AC56" s="1448"/>
      <c r="AD56" s="1448"/>
      <c r="AE56" s="1448"/>
      <c r="AF56" s="1448"/>
      <c r="AG56" s="1448"/>
      <c r="AH56" s="1448"/>
      <c r="AI56" s="1448"/>
    </row>
    <row r="57" spans="1:35" s="17" customFormat="1" ht="63">
      <c r="A57" s="42" t="s">
        <v>446</v>
      </c>
      <c r="B57" s="42" t="s">
        <v>447</v>
      </c>
      <c r="C57" s="42" t="s">
        <v>73</v>
      </c>
      <c r="D57" s="41" t="s">
        <v>122</v>
      </c>
      <c r="E57" s="323" t="s">
        <v>1948</v>
      </c>
      <c r="F57" s="329" t="s">
        <v>1949</v>
      </c>
      <c r="G57" s="1099">
        <f t="shared" si="4"/>
        <v>86774</v>
      </c>
      <c r="H57" s="1103">
        <f>30000+30000+15974+10800</f>
        <v>86774</v>
      </c>
      <c r="I57" s="1103"/>
      <c r="J57" s="1103"/>
      <c r="K57" s="1543">
        <f t="shared" si="0"/>
        <v>86774</v>
      </c>
      <c r="L57" s="1448"/>
      <c r="M57" s="1448"/>
      <c r="N57" s="1448"/>
      <c r="O57" s="1448"/>
      <c r="P57" s="1448"/>
      <c r="Q57" s="1448"/>
      <c r="R57" s="1448"/>
      <c r="S57" s="1448"/>
      <c r="T57" s="1448"/>
      <c r="U57" s="1448"/>
      <c r="V57" s="1448"/>
      <c r="W57" s="1448"/>
      <c r="X57" s="1448"/>
      <c r="Y57" s="1448"/>
      <c r="Z57" s="1448"/>
      <c r="AA57" s="1448"/>
      <c r="AB57" s="1448"/>
      <c r="AC57" s="1448"/>
      <c r="AD57" s="1448"/>
      <c r="AE57" s="1448"/>
      <c r="AF57" s="1448"/>
      <c r="AG57" s="1448"/>
      <c r="AH57" s="1448"/>
      <c r="AI57" s="1448"/>
    </row>
    <row r="58" spans="1:35" s="17" customFormat="1" ht="63">
      <c r="A58" s="42" t="s">
        <v>439</v>
      </c>
      <c r="B58" s="42" t="s">
        <v>72</v>
      </c>
      <c r="C58" s="42" t="s">
        <v>124</v>
      </c>
      <c r="D58" s="41" t="s">
        <v>226</v>
      </c>
      <c r="E58" s="323" t="s">
        <v>1948</v>
      </c>
      <c r="F58" s="329" t="s">
        <v>1949</v>
      </c>
      <c r="G58" s="1099">
        <f t="shared" si="4"/>
        <v>21081</v>
      </c>
      <c r="H58" s="1103">
        <v>21081</v>
      </c>
      <c r="I58" s="1103"/>
      <c r="J58" s="1103"/>
      <c r="K58" s="1543">
        <f t="shared" si="0"/>
        <v>21081</v>
      </c>
      <c r="L58" s="1448"/>
      <c r="M58" s="1448"/>
      <c r="N58" s="1448"/>
      <c r="O58" s="1448"/>
      <c r="P58" s="1448"/>
      <c r="Q58" s="1448"/>
      <c r="R58" s="1448"/>
      <c r="S58" s="1448"/>
      <c r="T58" s="1448"/>
      <c r="U58" s="1448"/>
      <c r="V58" s="1448"/>
      <c r="W58" s="1448"/>
      <c r="X58" s="1448"/>
      <c r="Y58" s="1448"/>
      <c r="Z58" s="1448"/>
      <c r="AA58" s="1448"/>
      <c r="AB58" s="1448"/>
      <c r="AC58" s="1448"/>
      <c r="AD58" s="1448"/>
      <c r="AE58" s="1448"/>
      <c r="AF58" s="1448"/>
      <c r="AG58" s="1448"/>
      <c r="AH58" s="1448"/>
      <c r="AI58" s="1448"/>
    </row>
    <row r="59" spans="1:35" s="17" customFormat="1" ht="31.15" hidden="1" customHeight="1">
      <c r="A59" s="42" t="s">
        <v>475</v>
      </c>
      <c r="B59" s="42" t="s">
        <v>476</v>
      </c>
      <c r="C59" s="42" t="s">
        <v>126</v>
      </c>
      <c r="D59" s="41" t="s">
        <v>477</v>
      </c>
      <c r="E59" s="325"/>
      <c r="F59" s="969"/>
      <c r="G59" s="1099">
        <f t="shared" si="4"/>
        <v>0</v>
      </c>
      <c r="H59" s="1103"/>
      <c r="I59" s="1103"/>
      <c r="J59" s="1103"/>
      <c r="K59" s="568">
        <f t="shared" si="0"/>
        <v>0</v>
      </c>
    </row>
    <row r="60" spans="1:35" s="17" customFormat="1" ht="31.15" hidden="1" customHeight="1">
      <c r="A60" s="42" t="s">
        <v>440</v>
      </c>
      <c r="B60" s="42" t="s">
        <v>74</v>
      </c>
      <c r="C60" s="42" t="s">
        <v>128</v>
      </c>
      <c r="D60" s="41" t="s">
        <v>129</v>
      </c>
      <c r="E60" s="325"/>
      <c r="F60" s="969"/>
      <c r="G60" s="1099">
        <f t="shared" si="4"/>
        <v>0</v>
      </c>
      <c r="H60" s="1103"/>
      <c r="I60" s="1103"/>
      <c r="J60" s="1103"/>
      <c r="K60" s="568">
        <f t="shared" si="0"/>
        <v>0</v>
      </c>
    </row>
    <row r="61" spans="1:35" s="17" customFormat="1" ht="46.9" hidden="1" customHeight="1">
      <c r="A61" s="42" t="s">
        <v>441</v>
      </c>
      <c r="B61" s="42" t="s">
        <v>125</v>
      </c>
      <c r="C61" s="42" t="s">
        <v>131</v>
      </c>
      <c r="D61" s="41" t="s">
        <v>132</v>
      </c>
      <c r="E61" s="325"/>
      <c r="F61" s="969"/>
      <c r="G61" s="1099">
        <f t="shared" si="4"/>
        <v>0</v>
      </c>
      <c r="H61" s="1103"/>
      <c r="I61" s="1103"/>
      <c r="J61" s="1103"/>
      <c r="K61" s="568">
        <f t="shared" si="0"/>
        <v>0</v>
      </c>
    </row>
    <row r="62" spans="1:35" s="17" customFormat="1" ht="31.15" hidden="1" customHeight="1">
      <c r="A62" s="42" t="s">
        <v>448</v>
      </c>
      <c r="B62" s="42" t="s">
        <v>449</v>
      </c>
      <c r="C62" s="42" t="s">
        <v>133</v>
      </c>
      <c r="D62" s="41" t="s">
        <v>134</v>
      </c>
      <c r="E62" s="325"/>
      <c r="F62" s="969"/>
      <c r="G62" s="1099">
        <f t="shared" si="4"/>
        <v>0</v>
      </c>
      <c r="H62" s="1103"/>
      <c r="I62" s="1103"/>
      <c r="J62" s="1103"/>
      <c r="K62" s="568">
        <f t="shared" si="0"/>
        <v>0</v>
      </c>
    </row>
    <row r="63" spans="1:35" ht="47.25">
      <c r="A63" s="1674" t="s">
        <v>442</v>
      </c>
      <c r="B63" s="1674" t="s">
        <v>127</v>
      </c>
      <c r="C63" s="1674" t="s">
        <v>136</v>
      </c>
      <c r="D63" s="1697" t="s">
        <v>137</v>
      </c>
      <c r="E63" s="307" t="s">
        <v>797</v>
      </c>
      <c r="F63" s="971" t="s">
        <v>1035</v>
      </c>
      <c r="G63" s="1099">
        <f t="shared" si="4"/>
        <v>300100</v>
      </c>
      <c r="H63" s="1103">
        <v>300100</v>
      </c>
      <c r="I63" s="1103"/>
      <c r="J63" s="1103"/>
      <c r="K63" s="1543">
        <f t="shared" si="0"/>
        <v>300100</v>
      </c>
      <c r="L63" s="1543">
        <f>G63-H63-I63</f>
        <v>0</v>
      </c>
      <c r="M63" s="1543">
        <f>G63-I63-H63</f>
        <v>0</v>
      </c>
      <c r="N63" s="1448"/>
      <c r="O63" s="1448"/>
      <c r="P63" s="1448"/>
      <c r="Q63" s="1448"/>
      <c r="R63" s="1448"/>
      <c r="S63" s="1448"/>
      <c r="T63" s="1448"/>
      <c r="U63" s="1448"/>
      <c r="V63" s="1448"/>
      <c r="W63" s="1448"/>
      <c r="X63" s="1448"/>
      <c r="Y63" s="1448"/>
      <c r="Z63" s="1448"/>
      <c r="AA63" s="1448"/>
      <c r="AB63" s="1448"/>
      <c r="AC63" s="1448"/>
      <c r="AD63" s="1448"/>
      <c r="AE63" s="1448"/>
      <c r="AF63" s="1448"/>
      <c r="AG63" s="1448"/>
      <c r="AH63" s="1448"/>
      <c r="AI63" s="1448"/>
    </row>
    <row r="64" spans="1:35" ht="63">
      <c r="A64" s="1675"/>
      <c r="B64" s="1675"/>
      <c r="C64" s="1675"/>
      <c r="D64" s="1698"/>
      <c r="E64" s="323" t="s">
        <v>1948</v>
      </c>
      <c r="F64" s="329" t="s">
        <v>1949</v>
      </c>
      <c r="G64" s="1099">
        <f t="shared" si="4"/>
        <v>20465</v>
      </c>
      <c r="H64" s="1103">
        <v>20465</v>
      </c>
      <c r="I64" s="1103"/>
      <c r="J64" s="1103"/>
      <c r="K64" s="1543">
        <f t="shared" si="0"/>
        <v>20465</v>
      </c>
      <c r="L64" s="1543"/>
      <c r="M64" s="1543"/>
      <c r="N64" s="1448"/>
      <c r="O64" s="1448"/>
      <c r="P64" s="1448"/>
      <c r="Q64" s="1448"/>
      <c r="R64" s="1448"/>
      <c r="S64" s="1448"/>
      <c r="T64" s="1448"/>
      <c r="U64" s="1448"/>
      <c r="V64" s="1448"/>
      <c r="W64" s="1448"/>
      <c r="X64" s="1448"/>
      <c r="Y64" s="1448"/>
      <c r="Z64" s="1448"/>
      <c r="AA64" s="1448"/>
      <c r="AB64" s="1448"/>
      <c r="AC64" s="1448"/>
      <c r="AD64" s="1448"/>
      <c r="AE64" s="1448"/>
      <c r="AF64" s="1448"/>
      <c r="AG64" s="1448"/>
      <c r="AH64" s="1448"/>
      <c r="AI64" s="1448"/>
    </row>
    <row r="65" spans="1:35" s="298" customFormat="1" ht="63">
      <c r="A65" s="42" t="s">
        <v>443</v>
      </c>
      <c r="B65" s="42" t="s">
        <v>130</v>
      </c>
      <c r="C65" s="42" t="s">
        <v>136</v>
      </c>
      <c r="D65" s="41" t="s">
        <v>450</v>
      </c>
      <c r="E65" s="323" t="s">
        <v>1948</v>
      </c>
      <c r="F65" s="329" t="s">
        <v>1949</v>
      </c>
      <c r="G65" s="1099">
        <f t="shared" si="4"/>
        <v>15000</v>
      </c>
      <c r="H65" s="1103">
        <v>15000</v>
      </c>
      <c r="I65" s="1103"/>
      <c r="J65" s="1103"/>
      <c r="K65" s="1543">
        <f t="shared" si="0"/>
        <v>15000</v>
      </c>
      <c r="L65" s="1463"/>
      <c r="M65" s="1463"/>
      <c r="N65" s="1463"/>
      <c r="O65" s="1463"/>
      <c r="P65" s="1463"/>
      <c r="Q65" s="1463"/>
      <c r="R65" s="1463"/>
      <c r="S65" s="1463"/>
      <c r="T65" s="1463"/>
      <c r="U65" s="1463"/>
      <c r="V65" s="1463"/>
      <c r="W65" s="1463"/>
      <c r="X65" s="1463"/>
      <c r="Y65" s="1463"/>
      <c r="Z65" s="1463"/>
      <c r="AA65" s="1463"/>
      <c r="AB65" s="1463"/>
      <c r="AC65" s="1463"/>
      <c r="AD65" s="1463"/>
      <c r="AE65" s="1463"/>
      <c r="AF65" s="1463"/>
      <c r="AG65" s="1463"/>
      <c r="AH65" s="1463"/>
      <c r="AI65" s="1463"/>
    </row>
    <row r="66" spans="1:35" s="298" customFormat="1" ht="31.5" hidden="1">
      <c r="A66" s="42" t="s">
        <v>444</v>
      </c>
      <c r="B66" s="42" t="s">
        <v>135</v>
      </c>
      <c r="C66" s="42" t="s">
        <v>156</v>
      </c>
      <c r="D66" s="41" t="s">
        <v>157</v>
      </c>
      <c r="E66" s="325"/>
      <c r="F66" s="969"/>
      <c r="G66" s="1099">
        <f t="shared" si="4"/>
        <v>0</v>
      </c>
      <c r="H66" s="1103"/>
      <c r="I66" s="1103"/>
      <c r="J66" s="1103"/>
      <c r="K66" s="568">
        <f t="shared" si="0"/>
        <v>0</v>
      </c>
    </row>
    <row r="67" spans="1:35" ht="50.1" hidden="1" customHeight="1">
      <c r="A67" s="293" t="s">
        <v>454</v>
      </c>
      <c r="B67" s="293" t="s">
        <v>455</v>
      </c>
      <c r="C67" s="296" t="s">
        <v>156</v>
      </c>
      <c r="D67" s="45" t="s">
        <v>158</v>
      </c>
      <c r="E67" s="322" t="s">
        <v>795</v>
      </c>
      <c r="F67" s="444"/>
      <c r="G67" s="1099">
        <f t="shared" si="4"/>
        <v>0</v>
      </c>
      <c r="H67" s="1105"/>
      <c r="I67" s="1105"/>
      <c r="J67" s="1105"/>
      <c r="K67" s="568">
        <f t="shared" si="0"/>
        <v>0</v>
      </c>
      <c r="M67" s="568">
        <f>G67-I67-H67</f>
        <v>0</v>
      </c>
    </row>
    <row r="68" spans="1:35" s="17" customFormat="1" ht="93.75" hidden="1" customHeight="1">
      <c r="A68" s="293" t="s">
        <v>456</v>
      </c>
      <c r="B68" s="293" t="s">
        <v>457</v>
      </c>
      <c r="C68" s="296" t="s">
        <v>156</v>
      </c>
      <c r="D68" s="297" t="s">
        <v>458</v>
      </c>
      <c r="E68" s="322"/>
      <c r="F68" s="444"/>
      <c r="G68" s="1099">
        <f t="shared" si="4"/>
        <v>0</v>
      </c>
      <c r="H68" s="1105"/>
      <c r="I68" s="1105"/>
      <c r="J68" s="1105"/>
      <c r="K68" s="568">
        <f t="shared" si="0"/>
        <v>0</v>
      </c>
    </row>
    <row r="69" spans="1:35" s="17" customFormat="1" ht="31.5" hidden="1">
      <c r="A69" s="293" t="s">
        <v>451</v>
      </c>
      <c r="B69" s="293" t="s">
        <v>452</v>
      </c>
      <c r="C69" s="296" t="s">
        <v>156</v>
      </c>
      <c r="D69" s="297" t="s">
        <v>453</v>
      </c>
      <c r="E69" s="322"/>
      <c r="F69" s="444"/>
      <c r="G69" s="1099">
        <f t="shared" si="4"/>
        <v>0</v>
      </c>
      <c r="H69" s="1105"/>
      <c r="I69" s="1105"/>
      <c r="J69" s="1105"/>
      <c r="K69" s="568">
        <f t="shared" si="0"/>
        <v>0</v>
      </c>
    </row>
    <row r="70" spans="1:35" ht="75" customHeight="1">
      <c r="A70" s="1692" t="s">
        <v>459</v>
      </c>
      <c r="B70" s="1692" t="s">
        <v>460</v>
      </c>
      <c r="C70" s="1692" t="s">
        <v>156</v>
      </c>
      <c r="D70" s="1694" t="s">
        <v>461</v>
      </c>
      <c r="E70" s="407" t="s">
        <v>1033</v>
      </c>
      <c r="F70" s="970" t="s">
        <v>1034</v>
      </c>
      <c r="G70" s="1099">
        <f t="shared" si="4"/>
        <v>3710000</v>
      </c>
      <c r="H70" s="1104">
        <v>1850000</v>
      </c>
      <c r="I70" s="1104">
        <v>1860000</v>
      </c>
      <c r="J70" s="1104">
        <v>1860000</v>
      </c>
      <c r="K70" s="1543">
        <f t="shared" si="0"/>
        <v>3710000</v>
      </c>
      <c r="L70" s="1543">
        <f>G70-H70-I70</f>
        <v>0</v>
      </c>
      <c r="M70" s="1543">
        <f>G70-I70-H70</f>
        <v>0</v>
      </c>
      <c r="N70" s="1448"/>
      <c r="O70" s="1448"/>
      <c r="P70" s="1448"/>
      <c r="Q70" s="1448"/>
      <c r="R70" s="1448"/>
      <c r="S70" s="1448"/>
      <c r="T70" s="1448"/>
      <c r="U70" s="1448"/>
      <c r="V70" s="1448"/>
      <c r="W70" s="1448"/>
      <c r="X70" s="1448"/>
      <c r="Y70" s="1448"/>
      <c r="Z70" s="1448"/>
      <c r="AA70" s="1448"/>
      <c r="AB70" s="1448"/>
      <c r="AC70" s="1448"/>
      <c r="AD70" s="1448"/>
      <c r="AE70" s="1448"/>
      <c r="AF70" s="1448"/>
      <c r="AG70" s="1448"/>
      <c r="AH70" s="1448"/>
      <c r="AI70" s="1448"/>
    </row>
    <row r="71" spans="1:35" ht="54.75" hidden="1" customHeight="1">
      <c r="A71" s="1693"/>
      <c r="B71" s="1693"/>
      <c r="C71" s="1693"/>
      <c r="D71" s="1695"/>
      <c r="E71" s="407" t="s">
        <v>795</v>
      </c>
      <c r="F71" s="970"/>
      <c r="G71" s="1099">
        <f t="shared" si="4"/>
        <v>0</v>
      </c>
      <c r="H71" s="1106"/>
      <c r="I71" s="1106"/>
      <c r="J71" s="1106"/>
      <c r="K71" s="568">
        <f t="shared" si="0"/>
        <v>0</v>
      </c>
      <c r="M71" s="568">
        <f>G71-I71-H71</f>
        <v>0</v>
      </c>
    </row>
    <row r="72" spans="1:35" s="17" customFormat="1" ht="15.75" hidden="1">
      <c r="A72" s="42" t="s">
        <v>462</v>
      </c>
      <c r="B72" s="42" t="s">
        <v>274</v>
      </c>
      <c r="C72" s="42" t="s">
        <v>159</v>
      </c>
      <c r="D72" s="41" t="s">
        <v>463</v>
      </c>
      <c r="E72" s="318"/>
      <c r="F72" s="972"/>
      <c r="G72" s="1099">
        <f t="shared" si="4"/>
        <v>0</v>
      </c>
      <c r="H72" s="1103"/>
      <c r="I72" s="1103"/>
      <c r="J72" s="1103"/>
      <c r="K72" s="568">
        <f t="shared" si="0"/>
        <v>0</v>
      </c>
    </row>
    <row r="73" spans="1:35" s="17" customFormat="1" ht="80.099999999999994" hidden="1" customHeight="1">
      <c r="A73" s="42" t="s">
        <v>464</v>
      </c>
      <c r="B73" s="42" t="s">
        <v>465</v>
      </c>
      <c r="C73" s="42" t="s">
        <v>7</v>
      </c>
      <c r="D73" s="41" t="s">
        <v>466</v>
      </c>
      <c r="E73" s="318"/>
      <c r="F73" s="972"/>
      <c r="G73" s="1099">
        <f t="shared" si="4"/>
        <v>0</v>
      </c>
      <c r="H73" s="1103"/>
      <c r="I73" s="1103"/>
      <c r="J73" s="1103"/>
      <c r="K73" s="568">
        <f t="shared" si="0"/>
        <v>0</v>
      </c>
    </row>
    <row r="74" spans="1:35" s="17" customFormat="1" ht="80.099999999999994" hidden="1" customHeight="1">
      <c r="A74" s="42" t="s">
        <v>467</v>
      </c>
      <c r="B74" s="42" t="s">
        <v>468</v>
      </c>
      <c r="C74" s="42" t="s">
        <v>7</v>
      </c>
      <c r="D74" s="41" t="s">
        <v>469</v>
      </c>
      <c r="E74" s="325"/>
      <c r="F74" s="969"/>
      <c r="G74" s="1099">
        <f t="shared" si="4"/>
        <v>0</v>
      </c>
      <c r="H74" s="1103"/>
      <c r="I74" s="1103"/>
      <c r="J74" s="1103"/>
      <c r="K74" s="568">
        <f t="shared" si="0"/>
        <v>0</v>
      </c>
    </row>
    <row r="75" spans="1:35" s="17" customFormat="1" ht="80.099999999999994" hidden="1" customHeight="1">
      <c r="A75" s="42" t="s">
        <v>470</v>
      </c>
      <c r="B75" s="42" t="s">
        <v>471</v>
      </c>
      <c r="C75" s="42" t="s">
        <v>7</v>
      </c>
      <c r="D75" s="41" t="s">
        <v>472</v>
      </c>
      <c r="E75" s="325"/>
      <c r="F75" s="969"/>
      <c r="G75" s="1099">
        <f t="shared" si="4"/>
        <v>0</v>
      </c>
      <c r="H75" s="1103"/>
      <c r="I75" s="1103"/>
      <c r="J75" s="1103"/>
      <c r="K75" s="568">
        <f t="shared" si="0"/>
        <v>0</v>
      </c>
    </row>
    <row r="76" spans="1:35" s="17" customFormat="1" ht="80.099999999999994" hidden="1" customHeight="1">
      <c r="A76" s="42" t="s">
        <v>473</v>
      </c>
      <c r="B76" s="39">
        <v>9770</v>
      </c>
      <c r="C76" s="42" t="s">
        <v>7</v>
      </c>
      <c r="D76" s="41" t="s">
        <v>474</v>
      </c>
      <c r="E76" s="50"/>
      <c r="F76" s="966"/>
      <c r="G76" s="1099">
        <f t="shared" si="4"/>
        <v>0</v>
      </c>
      <c r="H76" s="1099"/>
      <c r="I76" s="1099"/>
      <c r="J76" s="1099"/>
      <c r="K76" s="568">
        <f t="shared" si="0"/>
        <v>0</v>
      </c>
    </row>
    <row r="77" spans="1:35" ht="51.95" customHeight="1">
      <c r="A77" s="287" t="s">
        <v>478</v>
      </c>
      <c r="B77" s="287"/>
      <c r="C77" s="287"/>
      <c r="D77" s="286" t="s">
        <v>920</v>
      </c>
      <c r="E77" s="309"/>
      <c r="F77" s="962"/>
      <c r="G77" s="1098">
        <f>G87+G88+G89+G94+G92+G93+G80+G79+G90+G99+G95+G91++G96+G97+G101+G98+G86+G81+G82+G83+G84+G85+G100</f>
        <v>33284900</v>
      </c>
      <c r="H77" s="1098">
        <f>H87+H88+H89+H94+H92+H93+H80+H79+H90+H99+H95+H91++H96+H97+H101+H98+H86+H81+H82+H83+H84+H85+H100</f>
        <v>33284900</v>
      </c>
      <c r="I77" s="1098">
        <f>I87+I88+I89+I94+I92+I93+I80+I79+I90+I99+I95+I91++I96+I97+I101+I98+I86+I81+I82+I83+I84+I85+I100</f>
        <v>0</v>
      </c>
      <c r="J77" s="1098">
        <f>J87+J88+J89+J94+J92+J93+J80+J79+J90+J99+J95+J91++J96+J97+J101+J98+J86+J81+J82+J83+J84+J85+J100</f>
        <v>0</v>
      </c>
      <c r="K77" s="1543">
        <f t="shared" ref="K77:K140" si="5">SUM(H77:I77)</f>
        <v>33284900</v>
      </c>
      <c r="L77" s="1543">
        <f>G77-H77-I77</f>
        <v>0</v>
      </c>
      <c r="M77" s="1543">
        <f>G77-I77-H77</f>
        <v>0</v>
      </c>
      <c r="N77" s="1448"/>
      <c r="O77" s="1448"/>
      <c r="P77" s="1448"/>
      <c r="Q77" s="1448"/>
      <c r="R77" s="1448"/>
      <c r="S77" s="1448"/>
      <c r="T77" s="1448"/>
      <c r="U77" s="1448"/>
      <c r="V77" s="1448"/>
      <c r="W77" s="1448"/>
      <c r="X77" s="1448"/>
      <c r="Y77" s="1448"/>
      <c r="Z77" s="1448"/>
      <c r="AA77" s="1448"/>
      <c r="AB77" s="1448"/>
      <c r="AC77" s="1448"/>
      <c r="AD77" s="1448"/>
      <c r="AE77" s="1448"/>
      <c r="AF77" s="1448"/>
      <c r="AG77" s="1448"/>
      <c r="AH77" s="1448"/>
      <c r="AI77" s="1448"/>
    </row>
    <row r="78" spans="1:35" ht="47.25">
      <c r="A78" s="287" t="s">
        <v>479</v>
      </c>
      <c r="B78" s="287"/>
      <c r="C78" s="287"/>
      <c r="D78" s="286" t="s">
        <v>920</v>
      </c>
      <c r="E78" s="309"/>
      <c r="F78" s="962"/>
      <c r="G78" s="1098">
        <f>SUM(G79:G101)</f>
        <v>33284900</v>
      </c>
      <c r="H78" s="1098">
        <f>SUM(H79:H101)</f>
        <v>33284900</v>
      </c>
      <c r="I78" s="1098">
        <f>SUM(I79:I101)</f>
        <v>0</v>
      </c>
      <c r="J78" s="1098">
        <f>SUM(J79:J101)</f>
        <v>0</v>
      </c>
      <c r="K78" s="1543">
        <f t="shared" si="5"/>
        <v>33284900</v>
      </c>
      <c r="L78" s="1543">
        <f>G78-H78-I78</f>
        <v>0</v>
      </c>
      <c r="M78" s="1543">
        <f>G78-I78-H78</f>
        <v>0</v>
      </c>
      <c r="N78" s="1448"/>
      <c r="O78" s="1448"/>
      <c r="P78" s="1448"/>
      <c r="Q78" s="1448"/>
      <c r="R78" s="1448"/>
      <c r="S78" s="1448"/>
      <c r="T78" s="1448"/>
      <c r="U78" s="1448"/>
      <c r="V78" s="1448"/>
      <c r="W78" s="1448"/>
      <c r="X78" s="1448"/>
      <c r="Y78" s="1448"/>
      <c r="Z78" s="1448"/>
      <c r="AA78" s="1448"/>
      <c r="AB78" s="1448"/>
      <c r="AC78" s="1448"/>
      <c r="AD78" s="1448"/>
      <c r="AE78" s="1448"/>
      <c r="AF78" s="1448"/>
      <c r="AG78" s="1448"/>
      <c r="AH78" s="1448"/>
      <c r="AI78" s="1448"/>
    </row>
    <row r="79" spans="1:35" ht="47.25" hidden="1">
      <c r="A79" s="42" t="s">
        <v>480</v>
      </c>
      <c r="B79" s="42" t="s">
        <v>160</v>
      </c>
      <c r="C79" s="42" t="s">
        <v>15</v>
      </c>
      <c r="D79" s="40" t="s">
        <v>161</v>
      </c>
      <c r="E79" s="326"/>
      <c r="F79" s="914"/>
      <c r="G79" s="1099">
        <f t="shared" ref="G79:G101" si="6">H79+I79</f>
        <v>0</v>
      </c>
      <c r="H79" s="1107"/>
      <c r="I79" s="1107"/>
      <c r="J79" s="1107"/>
      <c r="K79" s="568">
        <f t="shared" si="5"/>
        <v>0</v>
      </c>
    </row>
    <row r="80" spans="1:35" ht="31.5" hidden="1">
      <c r="A80" s="42" t="s">
        <v>481</v>
      </c>
      <c r="B80" s="42" t="s">
        <v>162</v>
      </c>
      <c r="C80" s="42" t="s">
        <v>163</v>
      </c>
      <c r="D80" s="41" t="s">
        <v>227</v>
      </c>
      <c r="E80" s="323"/>
      <c r="F80" s="329"/>
      <c r="G80" s="1099">
        <f t="shared" si="6"/>
        <v>0</v>
      </c>
      <c r="H80" s="1101"/>
      <c r="I80" s="1101"/>
      <c r="J80" s="1101"/>
      <c r="K80" s="568">
        <f t="shared" si="5"/>
        <v>0</v>
      </c>
    </row>
    <row r="81" spans="1:35" ht="78.75" hidden="1">
      <c r="A81" s="293" t="s">
        <v>910</v>
      </c>
      <c r="B81" s="293" t="s">
        <v>334</v>
      </c>
      <c r="C81" s="296" t="s">
        <v>11</v>
      </c>
      <c r="D81" s="45" t="s">
        <v>77</v>
      </c>
      <c r="E81" s="323" t="s">
        <v>798</v>
      </c>
      <c r="F81" s="329"/>
      <c r="G81" s="1099">
        <f t="shared" si="6"/>
        <v>0</v>
      </c>
      <c r="H81" s="1100"/>
      <c r="I81" s="1100"/>
      <c r="J81" s="1100"/>
      <c r="K81" s="568">
        <f t="shared" si="5"/>
        <v>0</v>
      </c>
    </row>
    <row r="82" spans="1:35" ht="47.25">
      <c r="A82" s="42" t="s">
        <v>911</v>
      </c>
      <c r="B82" s="42" t="s">
        <v>529</v>
      </c>
      <c r="C82" s="42" t="s">
        <v>11</v>
      </c>
      <c r="D82" s="41" t="s">
        <v>530</v>
      </c>
      <c r="E82" s="323" t="s">
        <v>1027</v>
      </c>
      <c r="F82" s="329" t="s">
        <v>1028</v>
      </c>
      <c r="G82" s="1099">
        <f t="shared" si="6"/>
        <v>62800</v>
      </c>
      <c r="H82" s="1101">
        <v>62800</v>
      </c>
      <c r="I82" s="1101"/>
      <c r="J82" s="1101"/>
      <c r="K82" s="1543">
        <f t="shared" si="5"/>
        <v>62800</v>
      </c>
      <c r="L82" s="1543">
        <f>G82-H82-I82</f>
        <v>0</v>
      </c>
      <c r="M82" s="1543">
        <f>G82-I82-H82</f>
        <v>0</v>
      </c>
      <c r="N82" s="1448"/>
      <c r="O82" s="1448"/>
      <c r="P82" s="1448"/>
      <c r="Q82" s="1448"/>
      <c r="R82" s="1448"/>
      <c r="S82" s="1448"/>
      <c r="T82" s="1448"/>
      <c r="U82" s="1448"/>
      <c r="V82" s="1448"/>
      <c r="W82" s="1448"/>
      <c r="X82" s="1448"/>
      <c r="Y82" s="1448"/>
      <c r="Z82" s="1448"/>
      <c r="AA82" s="1448"/>
      <c r="AB82" s="1448"/>
      <c r="AC82" s="1448"/>
      <c r="AD82" s="1448"/>
      <c r="AE82" s="1448"/>
      <c r="AF82" s="1448"/>
      <c r="AG82" s="1448"/>
      <c r="AH82" s="1448"/>
      <c r="AI82" s="1448"/>
    </row>
    <row r="83" spans="1:35" ht="47.25">
      <c r="A83" s="42" t="s">
        <v>912</v>
      </c>
      <c r="B83" s="42" t="s">
        <v>532</v>
      </c>
      <c r="C83" s="42" t="s">
        <v>11</v>
      </c>
      <c r="D83" s="33" t="s">
        <v>297</v>
      </c>
      <c r="E83" s="323" t="s">
        <v>1027</v>
      </c>
      <c r="F83" s="329" t="s">
        <v>1028</v>
      </c>
      <c r="G83" s="1099">
        <f t="shared" si="6"/>
        <v>86100</v>
      </c>
      <c r="H83" s="1101">
        <v>86100</v>
      </c>
      <c r="I83" s="1101"/>
      <c r="J83" s="1101"/>
      <c r="K83" s="1543">
        <f t="shared" si="5"/>
        <v>86100</v>
      </c>
      <c r="L83" s="1543">
        <f>G83-H83-I83</f>
        <v>0</v>
      </c>
      <c r="M83" s="1543">
        <f>G83-I83-H83</f>
        <v>0</v>
      </c>
      <c r="N83" s="1448"/>
      <c r="O83" s="1448"/>
      <c r="P83" s="1448"/>
      <c r="Q83" s="1448"/>
      <c r="R83" s="1448"/>
      <c r="S83" s="1448"/>
      <c r="T83" s="1448"/>
      <c r="U83" s="1448"/>
      <c r="V83" s="1448"/>
      <c r="W83" s="1448"/>
      <c r="X83" s="1448"/>
      <c r="Y83" s="1448"/>
      <c r="Z83" s="1448"/>
      <c r="AA83" s="1448"/>
      <c r="AB83" s="1448"/>
      <c r="AC83" s="1448"/>
      <c r="AD83" s="1448"/>
      <c r="AE83" s="1448"/>
      <c r="AF83" s="1448"/>
      <c r="AG83" s="1448"/>
      <c r="AH83" s="1448"/>
      <c r="AI83" s="1448"/>
    </row>
    <row r="84" spans="1:35" ht="47.25">
      <c r="A84" s="42" t="s">
        <v>913</v>
      </c>
      <c r="B84" s="42" t="s">
        <v>534</v>
      </c>
      <c r="C84" s="42" t="s">
        <v>11</v>
      </c>
      <c r="D84" s="41" t="s">
        <v>175</v>
      </c>
      <c r="E84" s="323" t="s">
        <v>1027</v>
      </c>
      <c r="F84" s="329" t="s">
        <v>1028</v>
      </c>
      <c r="G84" s="1099">
        <f t="shared" si="6"/>
        <v>518400</v>
      </c>
      <c r="H84" s="1101">
        <v>518400</v>
      </c>
      <c r="I84" s="1101"/>
      <c r="J84" s="1101"/>
      <c r="K84" s="1543">
        <f t="shared" si="5"/>
        <v>518400</v>
      </c>
      <c r="L84" s="1543">
        <f>G84-H84-I84</f>
        <v>0</v>
      </c>
      <c r="M84" s="1543">
        <f>G84-I84-H84</f>
        <v>0</v>
      </c>
      <c r="N84" s="1448"/>
      <c r="O84" s="1448"/>
      <c r="P84" s="1448"/>
      <c r="Q84" s="1448"/>
      <c r="R84" s="1448"/>
      <c r="S84" s="1448"/>
      <c r="T84" s="1448"/>
      <c r="U84" s="1448"/>
      <c r="V84" s="1448"/>
      <c r="W84" s="1448"/>
      <c r="X84" s="1448"/>
      <c r="Y84" s="1448"/>
      <c r="Z84" s="1448"/>
      <c r="AA84" s="1448"/>
      <c r="AB84" s="1448"/>
      <c r="AC84" s="1448"/>
      <c r="AD84" s="1448"/>
      <c r="AE84" s="1448"/>
      <c r="AF84" s="1448"/>
      <c r="AG84" s="1448"/>
      <c r="AH84" s="1448"/>
      <c r="AI84" s="1448"/>
    </row>
    <row r="85" spans="1:35" ht="78.75" hidden="1">
      <c r="A85" s="1015" t="s">
        <v>967</v>
      </c>
      <c r="B85" s="1015" t="s">
        <v>341</v>
      </c>
      <c r="C85" s="1015" t="s">
        <v>11</v>
      </c>
      <c r="D85" s="1022" t="s">
        <v>966</v>
      </c>
      <c r="E85" s="323" t="s">
        <v>1174</v>
      </c>
      <c r="F85" s="329" t="s">
        <v>1173</v>
      </c>
      <c r="G85" s="1099">
        <f t="shared" si="6"/>
        <v>0</v>
      </c>
      <c r="H85" s="1101"/>
      <c r="I85" s="1101"/>
      <c r="J85" s="1101"/>
      <c r="K85" s="568">
        <f t="shared" si="5"/>
        <v>0</v>
      </c>
      <c r="L85" s="568">
        <f>G85-H85-I85</f>
        <v>0</v>
      </c>
      <c r="M85" s="568">
        <f>G85-I85-H85</f>
        <v>0</v>
      </c>
    </row>
    <row r="86" spans="1:35" ht="83.45" customHeight="1">
      <c r="A86" s="42" t="s">
        <v>832</v>
      </c>
      <c r="B86" s="42" t="s">
        <v>578</v>
      </c>
      <c r="C86" s="42" t="s">
        <v>163</v>
      </c>
      <c r="D86" s="41" t="s">
        <v>867</v>
      </c>
      <c r="E86" s="41" t="s">
        <v>833</v>
      </c>
      <c r="F86" s="1140" t="s">
        <v>1031</v>
      </c>
      <c r="G86" s="1099">
        <f t="shared" si="6"/>
        <v>500000</v>
      </c>
      <c r="H86" s="1101">
        <v>500000</v>
      </c>
      <c r="I86" s="1101"/>
      <c r="J86" s="1101"/>
      <c r="K86" s="1543">
        <f t="shared" si="5"/>
        <v>500000</v>
      </c>
      <c r="L86" s="1543">
        <f>G86-H86-I86</f>
        <v>0</v>
      </c>
      <c r="M86" s="1543">
        <f>G86-I86-H86</f>
        <v>0</v>
      </c>
      <c r="N86" s="1448"/>
      <c r="O86" s="1448"/>
      <c r="P86" s="1448"/>
      <c r="Q86" s="1448"/>
      <c r="R86" s="1448"/>
      <c r="S86" s="1448"/>
      <c r="T86" s="1448"/>
      <c r="U86" s="1448"/>
      <c r="V86" s="1448"/>
      <c r="W86" s="1448"/>
      <c r="X86" s="1448"/>
      <c r="Y86" s="1448"/>
      <c r="Z86" s="1448"/>
      <c r="AA86" s="1448"/>
      <c r="AB86" s="1448"/>
      <c r="AC86" s="1448"/>
      <c r="AD86" s="1448"/>
      <c r="AE86" s="1448"/>
      <c r="AF86" s="1448"/>
      <c r="AG86" s="1448"/>
      <c r="AH86" s="1448"/>
      <c r="AI86" s="1448"/>
    </row>
    <row r="87" spans="1:35" s="17" customFormat="1" ht="82.9" hidden="1" customHeight="1">
      <c r="A87" s="293" t="s">
        <v>482</v>
      </c>
      <c r="B87" s="293" t="s">
        <v>164</v>
      </c>
      <c r="C87" s="293" t="s">
        <v>165</v>
      </c>
      <c r="D87" s="45" t="s">
        <v>166</v>
      </c>
      <c r="E87" s="319"/>
      <c r="F87" s="328"/>
      <c r="G87" s="1099">
        <f t="shared" si="6"/>
        <v>0</v>
      </c>
      <c r="H87" s="1100"/>
      <c r="I87" s="1100"/>
      <c r="J87" s="1100"/>
      <c r="K87" s="568">
        <f t="shared" si="5"/>
        <v>0</v>
      </c>
    </row>
    <row r="88" spans="1:35" s="17" customFormat="1" ht="135" hidden="1" customHeight="1">
      <c r="A88" s="293" t="s">
        <v>483</v>
      </c>
      <c r="B88" s="293" t="s">
        <v>167</v>
      </c>
      <c r="C88" s="293" t="s">
        <v>168</v>
      </c>
      <c r="D88" s="45" t="s">
        <v>98</v>
      </c>
      <c r="E88" s="319"/>
      <c r="F88" s="328"/>
      <c r="G88" s="1099">
        <f t="shared" si="6"/>
        <v>0</v>
      </c>
      <c r="H88" s="1100"/>
      <c r="I88" s="1100"/>
      <c r="J88" s="1100"/>
      <c r="K88" s="568">
        <f t="shared" si="5"/>
        <v>0</v>
      </c>
    </row>
    <row r="89" spans="1:35" s="17" customFormat="1" ht="45" hidden="1" customHeight="1">
      <c r="A89" s="293" t="s">
        <v>484</v>
      </c>
      <c r="B89" s="293" t="s">
        <v>169</v>
      </c>
      <c r="C89" s="293" t="s">
        <v>165</v>
      </c>
      <c r="D89" s="45" t="s">
        <v>783</v>
      </c>
      <c r="E89" s="322"/>
      <c r="F89" s="444"/>
      <c r="G89" s="1099">
        <f t="shared" si="6"/>
        <v>0</v>
      </c>
      <c r="H89" s="1105"/>
      <c r="I89" s="1105"/>
      <c r="J89" s="1105"/>
      <c r="K89" s="568">
        <f t="shared" si="5"/>
        <v>0</v>
      </c>
    </row>
    <row r="90" spans="1:35" s="17" customFormat="1" ht="31.15" hidden="1" customHeight="1">
      <c r="A90" s="293" t="s">
        <v>485</v>
      </c>
      <c r="B90" s="293" t="s">
        <v>170</v>
      </c>
      <c r="C90" s="293" t="s">
        <v>165</v>
      </c>
      <c r="D90" s="45" t="s">
        <v>486</v>
      </c>
      <c r="E90" s="322"/>
      <c r="F90" s="444"/>
      <c r="G90" s="1099">
        <f t="shared" si="6"/>
        <v>0</v>
      </c>
      <c r="H90" s="1105"/>
      <c r="I90" s="1105"/>
      <c r="J90" s="1105"/>
      <c r="K90" s="568">
        <f t="shared" si="5"/>
        <v>0</v>
      </c>
    </row>
    <row r="91" spans="1:35" s="17" customFormat="1" ht="78.599999999999994" hidden="1" customHeight="1">
      <c r="A91" s="42" t="s">
        <v>487</v>
      </c>
      <c r="B91" s="42" t="s">
        <v>342</v>
      </c>
      <c r="C91" s="42"/>
      <c r="D91" s="40" t="s">
        <v>488</v>
      </c>
      <c r="E91" s="322"/>
      <c r="F91" s="444"/>
      <c r="G91" s="1099">
        <f t="shared" si="6"/>
        <v>0</v>
      </c>
      <c r="H91" s="1105"/>
      <c r="I91" s="1105"/>
      <c r="J91" s="1105"/>
      <c r="K91" s="568">
        <f t="shared" si="5"/>
        <v>0</v>
      </c>
    </row>
    <row r="92" spans="1:35" s="17" customFormat="1" ht="30.6" hidden="1" customHeight="1">
      <c r="A92" s="293" t="s">
        <v>489</v>
      </c>
      <c r="B92" s="293" t="s">
        <v>490</v>
      </c>
      <c r="C92" s="293" t="s">
        <v>165</v>
      </c>
      <c r="D92" s="45" t="s">
        <v>491</v>
      </c>
      <c r="E92" s="322"/>
      <c r="F92" s="444"/>
      <c r="G92" s="1099">
        <f t="shared" si="6"/>
        <v>0</v>
      </c>
      <c r="H92" s="1105"/>
      <c r="I92" s="1105"/>
      <c r="J92" s="1105"/>
      <c r="K92" s="568">
        <f t="shared" si="5"/>
        <v>0</v>
      </c>
    </row>
    <row r="93" spans="1:35" s="17" customFormat="1" ht="33" hidden="1" customHeight="1">
      <c r="A93" s="293" t="s">
        <v>492</v>
      </c>
      <c r="B93" s="293" t="s">
        <v>493</v>
      </c>
      <c r="C93" s="293" t="s">
        <v>165</v>
      </c>
      <c r="D93" s="45" t="s">
        <v>33</v>
      </c>
      <c r="E93" s="322"/>
      <c r="F93" s="444"/>
      <c r="G93" s="1099">
        <f t="shared" si="6"/>
        <v>0</v>
      </c>
      <c r="H93" s="1105"/>
      <c r="I93" s="1105"/>
      <c r="J93" s="1105"/>
      <c r="K93" s="568">
        <f t="shared" si="5"/>
        <v>0</v>
      </c>
    </row>
    <row r="94" spans="1:35" s="17" customFormat="1" ht="15.6" hidden="1" customHeight="1">
      <c r="A94" s="42" t="s">
        <v>494</v>
      </c>
      <c r="B94" s="42" t="s">
        <v>152</v>
      </c>
      <c r="C94" s="42" t="s">
        <v>5</v>
      </c>
      <c r="D94" s="40" t="s">
        <v>171</v>
      </c>
      <c r="E94" s="323"/>
      <c r="F94" s="329"/>
      <c r="G94" s="1099">
        <f t="shared" si="6"/>
        <v>0</v>
      </c>
      <c r="H94" s="1101"/>
      <c r="I94" s="1101"/>
      <c r="J94" s="1101"/>
      <c r="K94" s="568">
        <f t="shared" si="5"/>
        <v>0</v>
      </c>
    </row>
    <row r="95" spans="1:35" s="21" customFormat="1" ht="267.75" hidden="1">
      <c r="A95" s="293" t="s">
        <v>499</v>
      </c>
      <c r="B95" s="293" t="s">
        <v>500</v>
      </c>
      <c r="C95" s="293" t="s">
        <v>67</v>
      </c>
      <c r="D95" s="45" t="s">
        <v>501</v>
      </c>
      <c r="E95" s="47"/>
      <c r="F95" s="959"/>
      <c r="G95" s="1099">
        <f t="shared" si="6"/>
        <v>0</v>
      </c>
      <c r="H95" s="1100"/>
      <c r="I95" s="1100"/>
      <c r="J95" s="1100"/>
      <c r="K95" s="568">
        <f t="shared" si="5"/>
        <v>0</v>
      </c>
    </row>
    <row r="96" spans="1:35" s="17" customFormat="1" ht="46.9" hidden="1" customHeight="1">
      <c r="A96" s="293" t="s">
        <v>496</v>
      </c>
      <c r="B96" s="293" t="s">
        <v>497</v>
      </c>
      <c r="C96" s="293">
        <v>1090</v>
      </c>
      <c r="D96" s="45" t="s">
        <v>498</v>
      </c>
      <c r="E96" s="323"/>
      <c r="F96" s="329"/>
      <c r="G96" s="1099">
        <f t="shared" si="6"/>
        <v>0</v>
      </c>
      <c r="H96" s="1101"/>
      <c r="I96" s="1101"/>
      <c r="J96" s="1101"/>
      <c r="K96" s="568">
        <f t="shared" si="5"/>
        <v>0</v>
      </c>
    </row>
    <row r="97" spans="1:35" ht="78.75">
      <c r="A97" s="1674" t="s">
        <v>495</v>
      </c>
      <c r="B97" s="1674">
        <v>3242</v>
      </c>
      <c r="C97" s="1674">
        <v>1090</v>
      </c>
      <c r="D97" s="1697" t="s">
        <v>387</v>
      </c>
      <c r="E97" s="323" t="s">
        <v>1029</v>
      </c>
      <c r="F97" s="1140" t="s">
        <v>1176</v>
      </c>
      <c r="G97" s="1099">
        <f t="shared" si="6"/>
        <v>3582000</v>
      </c>
      <c r="H97" s="1101">
        <v>3582000</v>
      </c>
      <c r="I97" s="1101"/>
      <c r="J97" s="1101"/>
      <c r="K97" s="1543">
        <f t="shared" si="5"/>
        <v>3582000</v>
      </c>
      <c r="L97" s="1543">
        <f>G97-H97-I97</f>
        <v>0</v>
      </c>
      <c r="M97" s="1543">
        <f>G97-I97-H97</f>
        <v>0</v>
      </c>
      <c r="N97" s="1448"/>
      <c r="O97" s="1448"/>
      <c r="P97" s="1448"/>
      <c r="Q97" s="1448"/>
      <c r="R97" s="1448"/>
      <c r="S97" s="1448"/>
      <c r="T97" s="1448"/>
      <c r="U97" s="1448"/>
      <c r="V97" s="1448"/>
      <c r="W97" s="1448"/>
      <c r="X97" s="1448"/>
      <c r="Y97" s="1448"/>
      <c r="Z97" s="1448"/>
      <c r="AA97" s="1448"/>
      <c r="AB97" s="1448"/>
      <c r="AC97" s="1448"/>
      <c r="AD97" s="1448"/>
      <c r="AE97" s="1448"/>
      <c r="AF97" s="1448"/>
      <c r="AG97" s="1448"/>
      <c r="AH97" s="1448"/>
      <c r="AI97" s="1448"/>
    </row>
    <row r="98" spans="1:35" ht="94.5">
      <c r="A98" s="1675"/>
      <c r="B98" s="1675"/>
      <c r="C98" s="1675"/>
      <c r="D98" s="1698"/>
      <c r="E98" s="41" t="s">
        <v>1030</v>
      </c>
      <c r="F98" s="1140" t="s">
        <v>1031</v>
      </c>
      <c r="G98" s="1099">
        <f t="shared" si="6"/>
        <v>4205100</v>
      </c>
      <c r="H98" s="1101">
        <v>4205100</v>
      </c>
      <c r="I98" s="1101"/>
      <c r="J98" s="1101"/>
      <c r="K98" s="1543">
        <f t="shared" si="5"/>
        <v>4205100</v>
      </c>
      <c r="L98" s="1543">
        <f>G98-H98-I98</f>
        <v>0</v>
      </c>
      <c r="M98" s="1543">
        <f>G98-I98-H98</f>
        <v>0</v>
      </c>
      <c r="N98" s="1448"/>
      <c r="O98" s="1448"/>
      <c r="P98" s="1448"/>
      <c r="Q98" s="1448"/>
      <c r="R98" s="1448"/>
      <c r="S98" s="1448"/>
      <c r="T98" s="1448"/>
      <c r="U98" s="1448"/>
      <c r="V98" s="1448"/>
      <c r="W98" s="1448"/>
      <c r="X98" s="1448"/>
      <c r="Y98" s="1448"/>
      <c r="Z98" s="1448"/>
      <c r="AA98" s="1448"/>
      <c r="AB98" s="1448"/>
      <c r="AC98" s="1448"/>
      <c r="AD98" s="1448"/>
      <c r="AE98" s="1448"/>
      <c r="AF98" s="1448"/>
      <c r="AG98" s="1448"/>
      <c r="AH98" s="1448"/>
      <c r="AI98" s="1448"/>
    </row>
    <row r="99" spans="1:35" s="17" customFormat="1" ht="45" hidden="1" customHeight="1">
      <c r="A99" s="42" t="s">
        <v>502</v>
      </c>
      <c r="B99" s="42" t="s">
        <v>396</v>
      </c>
      <c r="C99" s="42" t="s">
        <v>7</v>
      </c>
      <c r="D99" s="33" t="s">
        <v>503</v>
      </c>
      <c r="E99" s="48"/>
      <c r="F99" s="96"/>
      <c r="G99" s="1099">
        <f t="shared" si="6"/>
        <v>0</v>
      </c>
      <c r="H99" s="1101"/>
      <c r="I99" s="1101"/>
      <c r="J99" s="1101"/>
      <c r="K99" s="568">
        <f t="shared" si="5"/>
        <v>0</v>
      </c>
    </row>
    <row r="100" spans="1:35" s="17" customFormat="1" ht="45" customHeight="1">
      <c r="A100" s="42" t="s">
        <v>729</v>
      </c>
      <c r="B100" s="42" t="s">
        <v>401</v>
      </c>
      <c r="C100" s="42" t="s">
        <v>7</v>
      </c>
      <c r="D100" s="40" t="s">
        <v>474</v>
      </c>
      <c r="E100" s="323" t="s">
        <v>1174</v>
      </c>
      <c r="F100" s="329" t="s">
        <v>1173</v>
      </c>
      <c r="G100" s="1099">
        <f>H100+I100</f>
        <v>10500400</v>
      </c>
      <c r="H100" s="1101">
        <v>10500400</v>
      </c>
      <c r="I100" s="1101"/>
      <c r="J100" s="1101"/>
      <c r="K100" s="1543">
        <f t="shared" si="5"/>
        <v>10500400</v>
      </c>
      <c r="L100" s="1448"/>
      <c r="M100" s="1448"/>
      <c r="N100" s="1448"/>
      <c r="O100" s="1448"/>
      <c r="P100" s="1448"/>
      <c r="Q100" s="1448"/>
      <c r="R100" s="1448"/>
      <c r="S100" s="1448"/>
      <c r="T100" s="1448"/>
      <c r="U100" s="1448"/>
      <c r="V100" s="1448"/>
      <c r="W100" s="1448"/>
      <c r="X100" s="1448"/>
      <c r="Y100" s="1448"/>
      <c r="Z100" s="1448"/>
      <c r="AA100" s="1448"/>
      <c r="AB100" s="1448"/>
      <c r="AC100" s="1448"/>
      <c r="AD100" s="1448"/>
      <c r="AE100" s="1448"/>
      <c r="AF100" s="1448"/>
      <c r="AG100" s="1448"/>
      <c r="AH100" s="1448"/>
      <c r="AI100" s="1448"/>
    </row>
    <row r="101" spans="1:35" ht="47.25">
      <c r="A101" s="42" t="s">
        <v>729</v>
      </c>
      <c r="B101" s="42" t="s">
        <v>401</v>
      </c>
      <c r="C101" s="42" t="s">
        <v>7</v>
      </c>
      <c r="D101" s="40" t="s">
        <v>474</v>
      </c>
      <c r="E101" s="323" t="s">
        <v>797</v>
      </c>
      <c r="F101" s="329" t="s">
        <v>1064</v>
      </c>
      <c r="G101" s="1099">
        <f t="shared" si="6"/>
        <v>13830100</v>
      </c>
      <c r="H101" s="1101">
        <v>13830100</v>
      </c>
      <c r="I101" s="1101"/>
      <c r="J101" s="1101"/>
      <c r="K101" s="1543">
        <f t="shared" si="5"/>
        <v>13830100</v>
      </c>
      <c r="L101" s="1543">
        <f>G101-H101-I101</f>
        <v>0</v>
      </c>
      <c r="M101" s="1543">
        <f>G101-I101-H101</f>
        <v>0</v>
      </c>
      <c r="N101" s="1448"/>
      <c r="O101" s="1448"/>
      <c r="P101" s="1448"/>
      <c r="Q101" s="1448"/>
      <c r="R101" s="1448"/>
      <c r="S101" s="1448"/>
      <c r="T101" s="1448"/>
      <c r="U101" s="1448"/>
      <c r="V101" s="1448"/>
      <c r="W101" s="1448"/>
      <c r="X101" s="1448"/>
      <c r="Y101" s="1448"/>
      <c r="Z101" s="1448"/>
      <c r="AA101" s="1448"/>
      <c r="AB101" s="1448"/>
      <c r="AC101" s="1448"/>
      <c r="AD101" s="1448"/>
      <c r="AE101" s="1448"/>
      <c r="AF101" s="1448"/>
      <c r="AG101" s="1448"/>
      <c r="AH101" s="1448"/>
      <c r="AI101" s="1448"/>
    </row>
    <row r="102" spans="1:35" ht="31.5">
      <c r="A102" s="287" t="s">
        <v>504</v>
      </c>
      <c r="B102" s="287"/>
      <c r="C102" s="287"/>
      <c r="D102" s="286" t="s">
        <v>298</v>
      </c>
      <c r="E102" s="309"/>
      <c r="F102" s="962"/>
      <c r="G102" s="1098">
        <f>G103</f>
        <v>3415700</v>
      </c>
      <c r="H102" s="1098">
        <f>H103</f>
        <v>520700</v>
      </c>
      <c r="I102" s="1098">
        <f>I103</f>
        <v>2895000</v>
      </c>
      <c r="J102" s="1098">
        <f>J103</f>
        <v>2895000</v>
      </c>
      <c r="K102" s="1543">
        <f t="shared" si="5"/>
        <v>3415700</v>
      </c>
      <c r="L102" s="1543">
        <f>G102-H102-I102</f>
        <v>0</v>
      </c>
      <c r="M102" s="1543">
        <f>G102-I102-H102</f>
        <v>0</v>
      </c>
      <c r="N102" s="1448"/>
      <c r="O102" s="1448"/>
      <c r="P102" s="1448"/>
      <c r="Q102" s="1448"/>
      <c r="R102" s="1448"/>
      <c r="S102" s="1448"/>
      <c r="T102" s="1448"/>
      <c r="U102" s="1448"/>
      <c r="V102" s="1448"/>
      <c r="W102" s="1448"/>
      <c r="X102" s="1448"/>
      <c r="Y102" s="1448"/>
      <c r="Z102" s="1448"/>
      <c r="AA102" s="1448"/>
      <c r="AB102" s="1448"/>
      <c r="AC102" s="1448"/>
      <c r="AD102" s="1448"/>
      <c r="AE102" s="1448"/>
      <c r="AF102" s="1448"/>
      <c r="AG102" s="1448"/>
      <c r="AH102" s="1448"/>
      <c r="AI102" s="1448"/>
    </row>
    <row r="103" spans="1:35" ht="42.75" customHeight="1">
      <c r="A103" s="287" t="s">
        <v>505</v>
      </c>
      <c r="B103" s="287"/>
      <c r="C103" s="287"/>
      <c r="D103" s="286" t="s">
        <v>298</v>
      </c>
      <c r="E103" s="309"/>
      <c r="F103" s="962"/>
      <c r="G103" s="1098">
        <f>SUM(G104:G108)</f>
        <v>3415700</v>
      </c>
      <c r="H103" s="1098">
        <f>SUM(H104:H108)</f>
        <v>520700</v>
      </c>
      <c r="I103" s="1098">
        <f>SUM(I104:I108)</f>
        <v>2895000</v>
      </c>
      <c r="J103" s="1098">
        <f>SUM(J104:J108)</f>
        <v>2895000</v>
      </c>
      <c r="K103" s="1543">
        <f t="shared" si="5"/>
        <v>3415700</v>
      </c>
      <c r="L103" s="1543">
        <f>G103-H103-I103</f>
        <v>0</v>
      </c>
      <c r="M103" s="1543">
        <f>G103-I103-H103</f>
        <v>0</v>
      </c>
      <c r="N103" s="1448"/>
      <c r="O103" s="1448"/>
      <c r="P103" s="1448"/>
      <c r="Q103" s="1448"/>
      <c r="R103" s="1448"/>
      <c r="S103" s="1448"/>
      <c r="T103" s="1448"/>
      <c r="U103" s="1448"/>
      <c r="V103" s="1448"/>
      <c r="W103" s="1448"/>
      <c r="X103" s="1448"/>
      <c r="Y103" s="1448"/>
      <c r="Z103" s="1448"/>
      <c r="AA103" s="1448"/>
      <c r="AB103" s="1448"/>
      <c r="AC103" s="1448"/>
      <c r="AD103" s="1448"/>
      <c r="AE103" s="1448"/>
      <c r="AF103" s="1448"/>
      <c r="AG103" s="1448"/>
      <c r="AH103" s="1448"/>
      <c r="AI103" s="1448"/>
    </row>
    <row r="104" spans="1:35" s="17" customFormat="1" ht="63" hidden="1" customHeight="1">
      <c r="A104" s="293" t="s">
        <v>506</v>
      </c>
      <c r="B104" s="293" t="s">
        <v>334</v>
      </c>
      <c r="C104" s="296" t="s">
        <v>11</v>
      </c>
      <c r="D104" s="297" t="s">
        <v>77</v>
      </c>
      <c r="E104" s="323"/>
      <c r="F104" s="329"/>
      <c r="G104" s="1099">
        <f>H104+I104</f>
        <v>0</v>
      </c>
      <c r="H104" s="1101"/>
      <c r="I104" s="1101"/>
      <c r="J104" s="1101"/>
      <c r="K104" s="568">
        <f t="shared" si="5"/>
        <v>0</v>
      </c>
    </row>
    <row r="105" spans="1:35" ht="62.45" customHeight="1">
      <c r="A105" s="42" t="s">
        <v>507</v>
      </c>
      <c r="B105" s="42" t="s">
        <v>172</v>
      </c>
      <c r="C105" s="1141" t="s">
        <v>11</v>
      </c>
      <c r="D105" s="41" t="s">
        <v>1</v>
      </c>
      <c r="E105" s="323" t="s">
        <v>1036</v>
      </c>
      <c r="F105" s="960" t="s">
        <v>1177</v>
      </c>
      <c r="G105" s="1099">
        <f>H105+I105</f>
        <v>369200</v>
      </c>
      <c r="H105" s="1101">
        <v>369200</v>
      </c>
      <c r="I105" s="1101"/>
      <c r="J105" s="1101"/>
      <c r="K105" s="1543">
        <f t="shared" si="5"/>
        <v>369200</v>
      </c>
      <c r="L105" s="1543">
        <f>G105-H105-I105</f>
        <v>0</v>
      </c>
      <c r="M105" s="1543">
        <f>G105-I105-H105</f>
        <v>0</v>
      </c>
      <c r="N105" s="1448"/>
      <c r="O105" s="1448"/>
      <c r="P105" s="1448"/>
      <c r="Q105" s="1448"/>
      <c r="R105" s="1448"/>
      <c r="S105" s="1448"/>
      <c r="T105" s="1448"/>
      <c r="U105" s="1448"/>
      <c r="V105" s="1448"/>
      <c r="W105" s="1448"/>
      <c r="X105" s="1448"/>
      <c r="Y105" s="1448"/>
      <c r="Z105" s="1448"/>
      <c r="AA105" s="1448"/>
      <c r="AB105" s="1448"/>
      <c r="AC105" s="1448"/>
      <c r="AD105" s="1448"/>
      <c r="AE105" s="1448"/>
      <c r="AF105" s="1448"/>
      <c r="AG105" s="1448"/>
      <c r="AH105" s="1448"/>
      <c r="AI105" s="1448"/>
    </row>
    <row r="106" spans="1:35" ht="69" customHeight="1">
      <c r="A106" s="42" t="s">
        <v>508</v>
      </c>
      <c r="B106" s="42" t="s">
        <v>337</v>
      </c>
      <c r="C106" s="42" t="s">
        <v>11</v>
      </c>
      <c r="D106" s="41" t="s">
        <v>203</v>
      </c>
      <c r="E106" s="323" t="s">
        <v>1036</v>
      </c>
      <c r="F106" s="960" t="s">
        <v>1177</v>
      </c>
      <c r="G106" s="1099">
        <f>H106+I106</f>
        <v>151500</v>
      </c>
      <c r="H106" s="1101">
        <v>151500</v>
      </c>
      <c r="I106" s="1101"/>
      <c r="J106" s="1101"/>
      <c r="K106" s="1543">
        <f t="shared" si="5"/>
        <v>151500</v>
      </c>
      <c r="L106" s="1543">
        <f>G106-H106-I106</f>
        <v>0</v>
      </c>
      <c r="M106" s="1543">
        <f>G106-I106-H106</f>
        <v>0</v>
      </c>
      <c r="N106" s="1448"/>
      <c r="O106" s="1448"/>
      <c r="P106" s="1448"/>
      <c r="Q106" s="1448"/>
      <c r="R106" s="1448"/>
      <c r="S106" s="1448"/>
      <c r="T106" s="1448"/>
      <c r="U106" s="1448"/>
      <c r="V106" s="1448"/>
      <c r="W106" s="1448"/>
      <c r="X106" s="1448"/>
      <c r="Y106" s="1448"/>
      <c r="Z106" s="1448"/>
      <c r="AA106" s="1448"/>
      <c r="AB106" s="1448"/>
      <c r="AC106" s="1448"/>
      <c r="AD106" s="1448"/>
      <c r="AE106" s="1448"/>
      <c r="AF106" s="1448"/>
      <c r="AG106" s="1448"/>
      <c r="AH106" s="1448"/>
      <c r="AI106" s="1448"/>
    </row>
    <row r="107" spans="1:35" s="17" customFormat="1" ht="126" hidden="1">
      <c r="A107" s="293" t="s">
        <v>730</v>
      </c>
      <c r="B107" s="293" t="s">
        <v>731</v>
      </c>
      <c r="C107" s="293" t="s">
        <v>7</v>
      </c>
      <c r="D107" s="45" t="s">
        <v>732</v>
      </c>
      <c r="E107" s="322"/>
      <c r="F107" s="444"/>
      <c r="G107" s="1099">
        <f>H107+I107</f>
        <v>0</v>
      </c>
      <c r="H107" s="1105"/>
      <c r="I107" s="1105"/>
      <c r="J107" s="1105"/>
      <c r="K107" s="568">
        <f t="shared" si="5"/>
        <v>0</v>
      </c>
    </row>
    <row r="108" spans="1:35" ht="63">
      <c r="A108" s="42" t="s">
        <v>509</v>
      </c>
      <c r="B108" s="42" t="s">
        <v>401</v>
      </c>
      <c r="C108" s="42" t="s">
        <v>7</v>
      </c>
      <c r="D108" s="41" t="s">
        <v>402</v>
      </c>
      <c r="E108" s="323" t="s">
        <v>1037</v>
      </c>
      <c r="F108" s="329" t="s">
        <v>1038</v>
      </c>
      <c r="G108" s="1099">
        <f>H108+I108</f>
        <v>2895000</v>
      </c>
      <c r="H108" s="1101"/>
      <c r="I108" s="1101">
        <v>2895000</v>
      </c>
      <c r="J108" s="1101">
        <v>2895000</v>
      </c>
      <c r="K108" s="1543">
        <f t="shared" si="5"/>
        <v>2895000</v>
      </c>
      <c r="L108" s="1543">
        <f>G108-H108-I108</f>
        <v>0</v>
      </c>
      <c r="M108" s="1543">
        <f>G108-I108-H108</f>
        <v>0</v>
      </c>
      <c r="N108" s="1448"/>
      <c r="O108" s="1448"/>
      <c r="P108" s="1448"/>
      <c r="Q108" s="1448"/>
      <c r="R108" s="1448"/>
      <c r="S108" s="1448"/>
      <c r="T108" s="1448"/>
      <c r="U108" s="1448"/>
      <c r="V108" s="1448"/>
      <c r="W108" s="1448"/>
      <c r="X108" s="1448"/>
      <c r="Y108" s="1448"/>
      <c r="Z108" s="1448"/>
      <c r="AA108" s="1448"/>
      <c r="AB108" s="1448"/>
      <c r="AC108" s="1448"/>
      <c r="AD108" s="1448"/>
      <c r="AE108" s="1448"/>
      <c r="AF108" s="1448"/>
      <c r="AG108" s="1448"/>
      <c r="AH108" s="1448"/>
      <c r="AI108" s="1448"/>
    </row>
    <row r="109" spans="1:35" ht="47.25">
      <c r="A109" s="287" t="s">
        <v>257</v>
      </c>
      <c r="B109" s="287"/>
      <c r="C109" s="287"/>
      <c r="D109" s="286" t="s">
        <v>590</v>
      </c>
      <c r="E109" s="309"/>
      <c r="F109" s="962"/>
      <c r="G109" s="1098">
        <f>G110</f>
        <v>2081800</v>
      </c>
      <c r="H109" s="1098">
        <f>H110</f>
        <v>2081800</v>
      </c>
      <c r="I109" s="1098">
        <f>I110</f>
        <v>0</v>
      </c>
      <c r="J109" s="1098">
        <f>J110</f>
        <v>0</v>
      </c>
      <c r="K109" s="1543">
        <f t="shared" si="5"/>
        <v>2081800</v>
      </c>
      <c r="L109" s="1543">
        <f>G109-H109-I109</f>
        <v>0</v>
      </c>
      <c r="M109" s="1543">
        <f>G109-I109-H109</f>
        <v>0</v>
      </c>
      <c r="N109" s="1448"/>
      <c r="O109" s="1448"/>
      <c r="P109" s="1448"/>
      <c r="Q109" s="1448"/>
      <c r="R109" s="1448"/>
      <c r="S109" s="1448"/>
      <c r="T109" s="1448"/>
      <c r="U109" s="1448"/>
      <c r="V109" s="1448"/>
      <c r="W109" s="1448"/>
      <c r="X109" s="1448"/>
      <c r="Y109" s="1448"/>
      <c r="Z109" s="1448"/>
      <c r="AA109" s="1448"/>
      <c r="AB109" s="1448"/>
      <c r="AC109" s="1448"/>
      <c r="AD109" s="1448"/>
      <c r="AE109" s="1448"/>
      <c r="AF109" s="1448"/>
      <c r="AG109" s="1448"/>
      <c r="AH109" s="1448"/>
      <c r="AI109" s="1448"/>
    </row>
    <row r="110" spans="1:35" ht="47.25">
      <c r="A110" s="287" t="s">
        <v>258</v>
      </c>
      <c r="B110" s="287"/>
      <c r="C110" s="287"/>
      <c r="D110" s="286" t="s">
        <v>590</v>
      </c>
      <c r="E110" s="309"/>
      <c r="F110" s="962"/>
      <c r="G110" s="1098">
        <f>SUM(G111:G126)</f>
        <v>2081800</v>
      </c>
      <c r="H110" s="1098">
        <f>SUM(H111:H126)</f>
        <v>2081800</v>
      </c>
      <c r="I110" s="1098">
        <f>SUM(I111:I126)</f>
        <v>0</v>
      </c>
      <c r="J110" s="1098">
        <f>SUM(J111:J126)</f>
        <v>0</v>
      </c>
      <c r="K110" s="1543">
        <f t="shared" si="5"/>
        <v>2081800</v>
      </c>
      <c r="L110" s="1543">
        <f>G110-H110-I110</f>
        <v>0</v>
      </c>
      <c r="M110" s="1543">
        <f>G110-I110-H110</f>
        <v>0</v>
      </c>
      <c r="N110" s="1448"/>
      <c r="O110" s="1448"/>
      <c r="P110" s="1448"/>
      <c r="Q110" s="1448"/>
      <c r="R110" s="1448"/>
      <c r="S110" s="1448"/>
      <c r="T110" s="1448"/>
      <c r="U110" s="1448"/>
      <c r="V110" s="1448"/>
      <c r="W110" s="1448"/>
      <c r="X110" s="1448"/>
      <c r="Y110" s="1448"/>
      <c r="Z110" s="1448"/>
      <c r="AA110" s="1448"/>
      <c r="AB110" s="1448"/>
      <c r="AC110" s="1448"/>
      <c r="AD110" s="1448"/>
      <c r="AE110" s="1448"/>
      <c r="AF110" s="1448"/>
      <c r="AG110" s="1448"/>
      <c r="AH110" s="1448"/>
      <c r="AI110" s="1448"/>
    </row>
    <row r="111" spans="1:35" s="17" customFormat="1" ht="47.25" hidden="1">
      <c r="A111" s="42" t="s">
        <v>218</v>
      </c>
      <c r="B111" s="42" t="s">
        <v>20</v>
      </c>
      <c r="C111" s="42" t="s">
        <v>21</v>
      </c>
      <c r="D111" s="41" t="s">
        <v>421</v>
      </c>
      <c r="E111" s="323"/>
      <c r="F111" s="329"/>
      <c r="G111" s="1099">
        <f t="shared" ref="G111:G126" si="7">H111+I111</f>
        <v>0</v>
      </c>
      <c r="H111" s="1101"/>
      <c r="I111" s="1101"/>
      <c r="J111" s="1101"/>
      <c r="K111" s="568">
        <f t="shared" si="5"/>
        <v>0</v>
      </c>
    </row>
    <row r="112" spans="1:35" s="17" customFormat="1" ht="31.5" hidden="1">
      <c r="A112" s="42" t="s">
        <v>364</v>
      </c>
      <c r="B112" s="42" t="s">
        <v>8</v>
      </c>
      <c r="C112" s="42" t="s">
        <v>9</v>
      </c>
      <c r="D112" s="41" t="s">
        <v>403</v>
      </c>
      <c r="E112" s="323"/>
      <c r="F112" s="329"/>
      <c r="G112" s="1099">
        <f t="shared" si="7"/>
        <v>0</v>
      </c>
      <c r="H112" s="1101"/>
      <c r="I112" s="1101"/>
      <c r="J112" s="1101"/>
      <c r="K112" s="568">
        <f t="shared" si="5"/>
        <v>0</v>
      </c>
    </row>
    <row r="113" spans="1:35" s="17" customFormat="1" ht="15.75" hidden="1">
      <c r="A113" s="42" t="s">
        <v>512</v>
      </c>
      <c r="B113" s="42" t="s">
        <v>513</v>
      </c>
      <c r="C113" s="42" t="s">
        <v>273</v>
      </c>
      <c r="D113" s="41" t="s">
        <v>514</v>
      </c>
      <c r="E113" s="316"/>
      <c r="F113" s="327"/>
      <c r="G113" s="1099">
        <f t="shared" si="7"/>
        <v>0</v>
      </c>
      <c r="H113" s="1099"/>
      <c r="I113" s="1099"/>
      <c r="J113" s="1099"/>
      <c r="K113" s="568">
        <f t="shared" si="5"/>
        <v>0</v>
      </c>
    </row>
    <row r="114" spans="1:35" s="17" customFormat="1" ht="63" hidden="1">
      <c r="A114" s="42" t="s">
        <v>510</v>
      </c>
      <c r="B114" s="42" t="s">
        <v>272</v>
      </c>
      <c r="C114" s="42" t="s">
        <v>275</v>
      </c>
      <c r="D114" s="41" t="s">
        <v>515</v>
      </c>
      <c r="E114" s="323"/>
      <c r="F114" s="329"/>
      <c r="G114" s="1099">
        <f t="shared" si="7"/>
        <v>0</v>
      </c>
      <c r="H114" s="1101"/>
      <c r="I114" s="1101"/>
      <c r="J114" s="1101"/>
      <c r="K114" s="568">
        <f t="shared" si="5"/>
        <v>0</v>
      </c>
    </row>
    <row r="115" spans="1:35" s="17" customFormat="1" ht="46.9" hidden="1" customHeight="1">
      <c r="A115" s="42" t="s">
        <v>511</v>
      </c>
      <c r="B115" s="42" t="s">
        <v>274</v>
      </c>
      <c r="C115" s="42" t="s">
        <v>159</v>
      </c>
      <c r="D115" s="41" t="s">
        <v>463</v>
      </c>
      <c r="E115" s="323"/>
      <c r="F115" s="329"/>
      <c r="G115" s="1099">
        <f t="shared" si="7"/>
        <v>0</v>
      </c>
      <c r="H115" s="1101"/>
      <c r="I115" s="1101"/>
      <c r="J115" s="1101"/>
      <c r="K115" s="568">
        <f t="shared" si="5"/>
        <v>0</v>
      </c>
    </row>
    <row r="116" spans="1:35" s="17" customFormat="1" ht="57.95" hidden="1" customHeight="1">
      <c r="A116" s="42" t="s">
        <v>516</v>
      </c>
      <c r="B116" s="42" t="s">
        <v>517</v>
      </c>
      <c r="C116" s="42" t="s">
        <v>159</v>
      </c>
      <c r="D116" s="41" t="s">
        <v>518</v>
      </c>
      <c r="E116" s="323"/>
      <c r="F116" s="329"/>
      <c r="G116" s="1099">
        <f t="shared" si="7"/>
        <v>0</v>
      </c>
      <c r="H116" s="1101"/>
      <c r="I116" s="1101"/>
      <c r="J116" s="1101"/>
      <c r="K116" s="568">
        <f t="shared" si="5"/>
        <v>0</v>
      </c>
    </row>
    <row r="117" spans="1:35" s="298" customFormat="1" ht="47.25" hidden="1">
      <c r="A117" s="293" t="s">
        <v>641</v>
      </c>
      <c r="B117" s="293" t="s">
        <v>642</v>
      </c>
      <c r="C117" s="293" t="s">
        <v>276</v>
      </c>
      <c r="D117" s="45" t="s">
        <v>643</v>
      </c>
      <c r="E117" s="322" t="s">
        <v>799</v>
      </c>
      <c r="F117" s="444"/>
      <c r="G117" s="1099">
        <f t="shared" si="7"/>
        <v>0</v>
      </c>
      <c r="H117" s="1100"/>
      <c r="I117" s="1100"/>
      <c r="J117" s="1100"/>
      <c r="K117" s="568">
        <f t="shared" si="5"/>
        <v>0</v>
      </c>
      <c r="M117" s="568">
        <f t="shared" ref="M117:M123" si="8">G117-I117-H117</f>
        <v>0</v>
      </c>
    </row>
    <row r="118" spans="1:35" ht="45">
      <c r="A118" s="42" t="s">
        <v>641</v>
      </c>
      <c r="B118" s="42" t="s">
        <v>642</v>
      </c>
      <c r="C118" s="42" t="s">
        <v>276</v>
      </c>
      <c r="D118" s="41" t="s">
        <v>643</v>
      </c>
      <c r="E118" s="461" t="s">
        <v>1045</v>
      </c>
      <c r="F118" s="960" t="s">
        <v>1172</v>
      </c>
      <c r="G118" s="1099">
        <f t="shared" si="7"/>
        <v>793700</v>
      </c>
      <c r="H118" s="1099">
        <v>793700</v>
      </c>
      <c r="I118" s="1099"/>
      <c r="J118" s="1099"/>
      <c r="K118" s="1543">
        <f t="shared" si="5"/>
        <v>793700</v>
      </c>
      <c r="L118" s="1543">
        <f t="shared" ref="L118:L123" si="9">G118-H118-I118</f>
        <v>0</v>
      </c>
      <c r="M118" s="1543">
        <f t="shared" si="8"/>
        <v>0</v>
      </c>
      <c r="N118" s="1448"/>
      <c r="O118" s="1448"/>
      <c r="P118" s="1448"/>
      <c r="Q118" s="1448"/>
      <c r="R118" s="1448"/>
      <c r="S118" s="1448"/>
      <c r="T118" s="1448"/>
      <c r="U118" s="1448"/>
      <c r="V118" s="1448"/>
      <c r="W118" s="1448"/>
      <c r="X118" s="1448"/>
      <c r="Y118" s="1448"/>
      <c r="Z118" s="1448"/>
      <c r="AA118" s="1448"/>
      <c r="AB118" s="1448"/>
      <c r="AC118" s="1448"/>
      <c r="AD118" s="1448"/>
      <c r="AE118" s="1448"/>
      <c r="AF118" s="1448"/>
      <c r="AG118" s="1448"/>
      <c r="AH118" s="1448"/>
      <c r="AI118" s="1448"/>
    </row>
    <row r="119" spans="1:35" ht="45">
      <c r="A119" s="1674" t="s">
        <v>733</v>
      </c>
      <c r="B119" s="1674" t="s">
        <v>734</v>
      </c>
      <c r="C119" s="1674" t="s">
        <v>276</v>
      </c>
      <c r="D119" s="1697" t="s">
        <v>769</v>
      </c>
      <c r="E119" s="461" t="s">
        <v>1045</v>
      </c>
      <c r="F119" s="960" t="s">
        <v>1172</v>
      </c>
      <c r="G119" s="1099">
        <f t="shared" si="7"/>
        <v>275000</v>
      </c>
      <c r="H119" s="1142">
        <f>55000+220000</f>
        <v>275000</v>
      </c>
      <c r="I119" s="1142"/>
      <c r="J119" s="1142"/>
      <c r="K119" s="1543">
        <f t="shared" si="5"/>
        <v>275000</v>
      </c>
      <c r="L119" s="1543">
        <f t="shared" si="9"/>
        <v>0</v>
      </c>
      <c r="M119" s="1543">
        <f t="shared" si="8"/>
        <v>0</v>
      </c>
      <c r="N119" s="1448"/>
      <c r="O119" s="1448"/>
      <c r="P119" s="1448"/>
      <c r="Q119" s="1448"/>
      <c r="R119" s="1448"/>
      <c r="S119" s="1448"/>
      <c r="T119" s="1448"/>
      <c r="U119" s="1448"/>
      <c r="V119" s="1448"/>
      <c r="W119" s="1448"/>
      <c r="X119" s="1448"/>
      <c r="Y119" s="1448"/>
      <c r="Z119" s="1448"/>
      <c r="AA119" s="1448"/>
      <c r="AB119" s="1448"/>
      <c r="AC119" s="1448"/>
      <c r="AD119" s="1448"/>
      <c r="AE119" s="1448"/>
      <c r="AF119" s="1448"/>
      <c r="AG119" s="1448"/>
      <c r="AH119" s="1448"/>
      <c r="AI119" s="1448"/>
    </row>
    <row r="120" spans="1:35" ht="45">
      <c r="A120" s="1696"/>
      <c r="B120" s="1696"/>
      <c r="C120" s="1696"/>
      <c r="D120" s="1699"/>
      <c r="E120" s="323" t="s">
        <v>1046</v>
      </c>
      <c r="F120" s="960" t="s">
        <v>1178</v>
      </c>
      <c r="G120" s="1099">
        <f t="shared" si="7"/>
        <v>270000</v>
      </c>
      <c r="H120" s="1142">
        <v>270000</v>
      </c>
      <c r="I120" s="1142"/>
      <c r="J120" s="1142"/>
      <c r="K120" s="1543">
        <f t="shared" si="5"/>
        <v>270000</v>
      </c>
      <c r="L120" s="1543">
        <f t="shared" si="9"/>
        <v>0</v>
      </c>
      <c r="M120" s="1543">
        <f t="shared" si="8"/>
        <v>0</v>
      </c>
      <c r="N120" s="1448"/>
      <c r="O120" s="1448"/>
      <c r="P120" s="1448"/>
      <c r="Q120" s="1448"/>
      <c r="R120" s="1448"/>
      <c r="S120" s="1448"/>
      <c r="T120" s="1448"/>
      <c r="U120" s="1448"/>
      <c r="V120" s="1448"/>
      <c r="W120" s="1448"/>
      <c r="X120" s="1448"/>
      <c r="Y120" s="1448"/>
      <c r="Z120" s="1448"/>
      <c r="AA120" s="1448"/>
      <c r="AB120" s="1448"/>
      <c r="AC120" s="1448"/>
      <c r="AD120" s="1448"/>
      <c r="AE120" s="1448"/>
      <c r="AF120" s="1448"/>
      <c r="AG120" s="1448"/>
      <c r="AH120" s="1448"/>
      <c r="AI120" s="1448"/>
    </row>
    <row r="121" spans="1:35" ht="63">
      <c r="A121" s="1696"/>
      <c r="B121" s="1696"/>
      <c r="C121" s="1696"/>
      <c r="D121" s="1699"/>
      <c r="E121" s="323" t="s">
        <v>801</v>
      </c>
      <c r="F121" s="329" t="s">
        <v>1069</v>
      </c>
      <c r="G121" s="1099">
        <f t="shared" si="7"/>
        <v>438100</v>
      </c>
      <c r="H121" s="1142">
        <f>78100+360000</f>
        <v>438100</v>
      </c>
      <c r="I121" s="1142"/>
      <c r="J121" s="1142"/>
      <c r="K121" s="1543">
        <f t="shared" si="5"/>
        <v>438100</v>
      </c>
      <c r="L121" s="1543">
        <f t="shared" si="9"/>
        <v>0</v>
      </c>
      <c r="M121" s="1543">
        <f t="shared" si="8"/>
        <v>0</v>
      </c>
      <c r="N121" s="1448"/>
      <c r="O121" s="1448"/>
      <c r="P121" s="1448"/>
      <c r="Q121" s="1448"/>
      <c r="R121" s="1448"/>
      <c r="S121" s="1448"/>
      <c r="T121" s="1448"/>
      <c r="U121" s="1448"/>
      <c r="V121" s="1448"/>
      <c r="W121" s="1448"/>
      <c r="X121" s="1448"/>
      <c r="Y121" s="1448"/>
      <c r="Z121" s="1448"/>
      <c r="AA121" s="1448"/>
      <c r="AB121" s="1448"/>
      <c r="AC121" s="1448"/>
      <c r="AD121" s="1448"/>
      <c r="AE121" s="1448"/>
      <c r="AF121" s="1448"/>
      <c r="AG121" s="1448"/>
      <c r="AH121" s="1448"/>
      <c r="AI121" s="1448"/>
    </row>
    <row r="122" spans="1:35" ht="45">
      <c r="A122" s="42" t="s">
        <v>523</v>
      </c>
      <c r="B122" s="42" t="s">
        <v>373</v>
      </c>
      <c r="C122" s="42" t="s">
        <v>521</v>
      </c>
      <c r="D122" s="41" t="s">
        <v>524</v>
      </c>
      <c r="E122" s="323" t="s">
        <v>1044</v>
      </c>
      <c r="F122" s="960" t="s">
        <v>1178</v>
      </c>
      <c r="G122" s="1099">
        <f t="shared" si="7"/>
        <v>180000</v>
      </c>
      <c r="H122" s="1101">
        <v>180000</v>
      </c>
      <c r="I122" s="1101"/>
      <c r="J122" s="1101"/>
      <c r="K122" s="1543">
        <f t="shared" si="5"/>
        <v>180000</v>
      </c>
      <c r="L122" s="1543">
        <f t="shared" si="9"/>
        <v>0</v>
      </c>
      <c r="M122" s="1543">
        <f t="shared" si="8"/>
        <v>0</v>
      </c>
      <c r="N122" s="1448"/>
      <c r="O122" s="1448"/>
      <c r="P122" s="1448"/>
      <c r="Q122" s="1448"/>
      <c r="R122" s="1448"/>
      <c r="S122" s="1448"/>
      <c r="T122" s="1448"/>
      <c r="U122" s="1448"/>
      <c r="V122" s="1448"/>
      <c r="W122" s="1448"/>
      <c r="X122" s="1448"/>
      <c r="Y122" s="1448"/>
      <c r="Z122" s="1448"/>
      <c r="AA122" s="1448"/>
      <c r="AB122" s="1448"/>
      <c r="AC122" s="1448"/>
      <c r="AD122" s="1448"/>
      <c r="AE122" s="1448"/>
      <c r="AF122" s="1448"/>
      <c r="AG122" s="1448"/>
      <c r="AH122" s="1448"/>
      <c r="AI122" s="1448"/>
    </row>
    <row r="123" spans="1:35" ht="45">
      <c r="A123" s="42" t="s">
        <v>738</v>
      </c>
      <c r="B123" s="42" t="s">
        <v>739</v>
      </c>
      <c r="C123" s="42" t="s">
        <v>741</v>
      </c>
      <c r="D123" s="41" t="s">
        <v>740</v>
      </c>
      <c r="E123" s="461" t="s">
        <v>1045</v>
      </c>
      <c r="F123" s="960" t="s">
        <v>1172</v>
      </c>
      <c r="G123" s="1099">
        <f t="shared" si="7"/>
        <v>125000</v>
      </c>
      <c r="H123" s="1101">
        <v>125000</v>
      </c>
      <c r="I123" s="1101"/>
      <c r="J123" s="1101"/>
      <c r="K123" s="1543">
        <f t="shared" si="5"/>
        <v>125000</v>
      </c>
      <c r="L123" s="1543">
        <f t="shared" si="9"/>
        <v>0</v>
      </c>
      <c r="M123" s="1543">
        <f t="shared" si="8"/>
        <v>0</v>
      </c>
      <c r="N123" s="1448"/>
      <c r="O123" s="1448"/>
      <c r="P123" s="1448"/>
      <c r="Q123" s="1448"/>
      <c r="R123" s="1448"/>
      <c r="S123" s="1448"/>
      <c r="T123" s="1448"/>
      <c r="U123" s="1448"/>
      <c r="V123" s="1448"/>
      <c r="W123" s="1448"/>
      <c r="X123" s="1448"/>
      <c r="Y123" s="1448"/>
      <c r="Z123" s="1448"/>
      <c r="AA123" s="1448"/>
      <c r="AB123" s="1448"/>
      <c r="AC123" s="1448"/>
      <c r="AD123" s="1448"/>
      <c r="AE123" s="1448"/>
      <c r="AF123" s="1448"/>
      <c r="AG123" s="1448"/>
      <c r="AH123" s="1448"/>
      <c r="AI123" s="1448"/>
    </row>
    <row r="124" spans="1:35" s="17" customFormat="1" ht="34.5" hidden="1">
      <c r="A124" s="42" t="s">
        <v>519</v>
      </c>
      <c r="B124" s="42" t="s">
        <v>520</v>
      </c>
      <c r="C124" s="42" t="s">
        <v>521</v>
      </c>
      <c r="D124" s="41" t="s">
        <v>522</v>
      </c>
      <c r="E124" s="323"/>
      <c r="F124" s="329"/>
      <c r="G124" s="1099">
        <f t="shared" si="7"/>
        <v>0</v>
      </c>
      <c r="H124" s="1101"/>
      <c r="I124" s="1101"/>
      <c r="J124" s="1101"/>
      <c r="K124" s="568">
        <f t="shared" si="5"/>
        <v>0</v>
      </c>
    </row>
    <row r="125" spans="1:35" s="17" customFormat="1" ht="38.1" hidden="1" customHeight="1">
      <c r="A125" s="42" t="s">
        <v>525</v>
      </c>
      <c r="B125" s="42" t="s">
        <v>526</v>
      </c>
      <c r="C125" s="42" t="s">
        <v>277</v>
      </c>
      <c r="D125" s="41" t="s">
        <v>527</v>
      </c>
      <c r="E125" s="322"/>
      <c r="F125" s="444"/>
      <c r="G125" s="1099">
        <f t="shared" si="7"/>
        <v>0</v>
      </c>
      <c r="H125" s="1105"/>
      <c r="I125" s="1105"/>
      <c r="J125" s="1105"/>
      <c r="K125" s="568">
        <f t="shared" si="5"/>
        <v>0</v>
      </c>
    </row>
    <row r="126" spans="1:35" ht="36" hidden="1" customHeight="1">
      <c r="A126" s="42" t="s">
        <v>735</v>
      </c>
      <c r="B126" s="42" t="s">
        <v>736</v>
      </c>
      <c r="C126" s="42" t="s">
        <v>277</v>
      </c>
      <c r="D126" s="41" t="s">
        <v>737</v>
      </c>
      <c r="E126" s="461" t="s">
        <v>817</v>
      </c>
      <c r="F126" s="961"/>
      <c r="G126" s="1099">
        <f t="shared" si="7"/>
        <v>0</v>
      </c>
      <c r="H126" s="1105"/>
      <c r="I126" s="1105"/>
      <c r="J126" s="1105"/>
      <c r="K126" s="568">
        <f t="shared" si="5"/>
        <v>0</v>
      </c>
      <c r="M126" s="568">
        <f t="shared" ref="M126:M149" si="10">G126-I126-H126</f>
        <v>0</v>
      </c>
    </row>
    <row r="127" spans="1:35" ht="51.6" customHeight="1">
      <c r="A127" s="287" t="s">
        <v>329</v>
      </c>
      <c r="B127" s="287"/>
      <c r="C127" s="287"/>
      <c r="D127" s="286" t="s">
        <v>924</v>
      </c>
      <c r="E127" s="309"/>
      <c r="F127" s="962"/>
      <c r="G127" s="1245">
        <f>G128</f>
        <v>92935735.900000006</v>
      </c>
      <c r="H127" s="1245">
        <f>H128</f>
        <v>80772300</v>
      </c>
      <c r="I127" s="1245">
        <f>I128</f>
        <v>12163435.9</v>
      </c>
      <c r="J127" s="1245">
        <f>J128</f>
        <v>11792400</v>
      </c>
      <c r="K127" s="1543">
        <f t="shared" si="5"/>
        <v>92935735.900000006</v>
      </c>
      <c r="L127" s="1543">
        <f>G127-H127-I127</f>
        <v>0</v>
      </c>
      <c r="M127" s="1543">
        <f t="shared" si="10"/>
        <v>0</v>
      </c>
      <c r="N127" s="1448"/>
      <c r="O127" s="1448"/>
      <c r="P127" s="1448"/>
      <c r="Q127" s="1448"/>
      <c r="R127" s="1448"/>
      <c r="S127" s="1448"/>
      <c r="T127" s="1448"/>
      <c r="U127" s="1448"/>
      <c r="V127" s="1448"/>
      <c r="W127" s="1448"/>
      <c r="X127" s="1448"/>
      <c r="Y127" s="1448"/>
      <c r="Z127" s="1448"/>
      <c r="AA127" s="1448"/>
      <c r="AB127" s="1448"/>
      <c r="AC127" s="1448"/>
      <c r="AD127" s="1448"/>
      <c r="AE127" s="1448"/>
      <c r="AF127" s="1448"/>
      <c r="AG127" s="1448"/>
      <c r="AH127" s="1448"/>
      <c r="AI127" s="1448"/>
    </row>
    <row r="128" spans="1:35" ht="51.6" customHeight="1">
      <c r="A128" s="287" t="s">
        <v>330</v>
      </c>
      <c r="B128" s="287"/>
      <c r="C128" s="287"/>
      <c r="D128" s="286" t="s">
        <v>924</v>
      </c>
      <c r="E128" s="309"/>
      <c r="F128" s="962"/>
      <c r="G128" s="1245">
        <f>SUM(G129:G152)</f>
        <v>92935735.900000006</v>
      </c>
      <c r="H128" s="1245">
        <f>SUM(H129:H152)</f>
        <v>80772300</v>
      </c>
      <c r="I128" s="1245">
        <f>SUM(I129:I152)</f>
        <v>12163435.9</v>
      </c>
      <c r="J128" s="1245">
        <f>SUM(J129:J152)</f>
        <v>11792400</v>
      </c>
      <c r="K128" s="1543">
        <f t="shared" si="5"/>
        <v>92935735.900000006</v>
      </c>
      <c r="L128" s="1543">
        <f>G128-H128-I128</f>
        <v>0</v>
      </c>
      <c r="M128" s="1543">
        <f t="shared" si="10"/>
        <v>0</v>
      </c>
      <c r="N128" s="1543" t="e">
        <f>I128-#REF!-I148</f>
        <v>#REF!</v>
      </c>
      <c r="O128" s="1543" t="e">
        <f>G128-#REF!-G148</f>
        <v>#REF!</v>
      </c>
      <c r="P128" s="1448"/>
      <c r="Q128" s="1448"/>
      <c r="R128" s="1448"/>
      <c r="S128" s="1448"/>
      <c r="T128" s="1448"/>
      <c r="U128" s="1448"/>
      <c r="V128" s="1448"/>
      <c r="W128" s="1448"/>
      <c r="X128" s="1448"/>
      <c r="Y128" s="1448"/>
      <c r="Z128" s="1448"/>
      <c r="AA128" s="1448"/>
      <c r="AB128" s="1448"/>
      <c r="AC128" s="1448"/>
      <c r="AD128" s="1448"/>
      <c r="AE128" s="1448"/>
      <c r="AF128" s="1448"/>
      <c r="AG128" s="1448"/>
      <c r="AH128" s="1448"/>
      <c r="AI128" s="1448"/>
    </row>
    <row r="129" spans="1:35" ht="62.45" customHeight="1">
      <c r="A129" s="1674" t="s">
        <v>336</v>
      </c>
      <c r="B129" s="1674" t="s">
        <v>337</v>
      </c>
      <c r="C129" s="1674" t="s">
        <v>11</v>
      </c>
      <c r="D129" s="1682" t="s">
        <v>203</v>
      </c>
      <c r="E129" s="323" t="s">
        <v>1027</v>
      </c>
      <c r="F129" s="329" t="s">
        <v>1069</v>
      </c>
      <c r="G129" s="1099">
        <f t="shared" ref="G129:G152" si="11">H129+I129</f>
        <v>992700</v>
      </c>
      <c r="H129" s="1101">
        <v>992700</v>
      </c>
      <c r="I129" s="1101"/>
      <c r="J129" s="1101"/>
      <c r="K129" s="1543">
        <f t="shared" si="5"/>
        <v>992700</v>
      </c>
      <c r="L129" s="1543">
        <f>G129-H129-I129</f>
        <v>0</v>
      </c>
      <c r="M129" s="1543">
        <f t="shared" si="10"/>
        <v>0</v>
      </c>
      <c r="N129" s="1448"/>
      <c r="O129" s="1448"/>
      <c r="P129" s="1448"/>
      <c r="Q129" s="1448"/>
      <c r="R129" s="1448"/>
      <c r="S129" s="1448"/>
      <c r="T129" s="1448"/>
      <c r="U129" s="1448"/>
      <c r="V129" s="1448"/>
      <c r="W129" s="1448"/>
      <c r="X129" s="1448"/>
      <c r="Y129" s="1448"/>
      <c r="Z129" s="1448"/>
      <c r="AA129" s="1448"/>
      <c r="AB129" s="1448"/>
      <c r="AC129" s="1448"/>
      <c r="AD129" s="1448"/>
      <c r="AE129" s="1448"/>
      <c r="AF129" s="1448"/>
      <c r="AG129" s="1448"/>
      <c r="AH129" s="1448"/>
      <c r="AI129" s="1448"/>
    </row>
    <row r="130" spans="1:35" ht="63">
      <c r="A130" s="1675"/>
      <c r="B130" s="1675"/>
      <c r="C130" s="1675"/>
      <c r="D130" s="1684"/>
      <c r="E130" s="323" t="s">
        <v>1042</v>
      </c>
      <c r="F130" s="329" t="s">
        <v>1041</v>
      </c>
      <c r="G130" s="1099">
        <f t="shared" si="11"/>
        <v>457300</v>
      </c>
      <c r="H130" s="1101">
        <v>457300</v>
      </c>
      <c r="I130" s="1101"/>
      <c r="J130" s="1101"/>
      <c r="K130" s="1543">
        <f t="shared" si="5"/>
        <v>457300</v>
      </c>
      <c r="L130" s="1543">
        <f>G130-H130-I130</f>
        <v>0</v>
      </c>
      <c r="M130" s="1543">
        <f t="shared" si="10"/>
        <v>0</v>
      </c>
      <c r="N130" s="1448"/>
      <c r="O130" s="1448"/>
      <c r="P130" s="1448"/>
      <c r="Q130" s="1448"/>
      <c r="R130" s="1448"/>
      <c r="S130" s="1448"/>
      <c r="T130" s="1448"/>
      <c r="U130" s="1448"/>
      <c r="V130" s="1448"/>
      <c r="W130" s="1448"/>
      <c r="X130" s="1448"/>
      <c r="Y130" s="1448"/>
      <c r="Z130" s="1448"/>
      <c r="AA130" s="1448"/>
      <c r="AB130" s="1448"/>
      <c r="AC130" s="1448"/>
      <c r="AD130" s="1448"/>
      <c r="AE130" s="1448"/>
      <c r="AF130" s="1448"/>
      <c r="AG130" s="1448"/>
      <c r="AH130" s="1448"/>
      <c r="AI130" s="1448"/>
    </row>
    <row r="131" spans="1:35" ht="84" customHeight="1">
      <c r="A131" s="42" t="s">
        <v>338</v>
      </c>
      <c r="B131" s="42" t="s">
        <v>339</v>
      </c>
      <c r="C131" s="42" t="s">
        <v>11</v>
      </c>
      <c r="D131" s="41" t="s">
        <v>742</v>
      </c>
      <c r="E131" s="323" t="s">
        <v>1027</v>
      </c>
      <c r="F131" s="329" t="s">
        <v>1069</v>
      </c>
      <c r="G131" s="1099">
        <f t="shared" si="11"/>
        <v>200000</v>
      </c>
      <c r="H131" s="1101">
        <v>200000</v>
      </c>
      <c r="I131" s="1101"/>
      <c r="J131" s="1101"/>
      <c r="K131" s="1543">
        <f t="shared" si="5"/>
        <v>200000</v>
      </c>
      <c r="L131" s="1543">
        <f>G131-H131-I131</f>
        <v>0</v>
      </c>
      <c r="M131" s="1543">
        <f t="shared" si="10"/>
        <v>0</v>
      </c>
      <c r="N131" s="1448"/>
      <c r="O131" s="1448"/>
      <c r="P131" s="1448"/>
      <c r="Q131" s="1448"/>
      <c r="R131" s="1448"/>
      <c r="S131" s="1448"/>
      <c r="T131" s="1448"/>
      <c r="U131" s="1448"/>
      <c r="V131" s="1448"/>
      <c r="W131" s="1448"/>
      <c r="X131" s="1448"/>
      <c r="Y131" s="1448"/>
      <c r="Z131" s="1448"/>
      <c r="AA131" s="1448"/>
      <c r="AB131" s="1448"/>
      <c r="AC131" s="1448"/>
      <c r="AD131" s="1448"/>
      <c r="AE131" s="1448"/>
      <c r="AF131" s="1448"/>
      <c r="AG131" s="1448"/>
      <c r="AH131" s="1448"/>
      <c r="AI131" s="1448"/>
    </row>
    <row r="132" spans="1:35" ht="78.75" hidden="1">
      <c r="A132" s="42" t="s">
        <v>340</v>
      </c>
      <c r="B132" s="42" t="s">
        <v>341</v>
      </c>
      <c r="C132" s="42" t="s">
        <v>11</v>
      </c>
      <c r="D132" s="41" t="s">
        <v>147</v>
      </c>
      <c r="E132" s="323" t="s">
        <v>793</v>
      </c>
      <c r="F132" s="329"/>
      <c r="G132" s="1099">
        <f t="shared" si="11"/>
        <v>0</v>
      </c>
      <c r="H132" s="1101"/>
      <c r="I132" s="1101"/>
      <c r="J132" s="1101"/>
      <c r="K132" s="568">
        <f t="shared" si="5"/>
        <v>0</v>
      </c>
      <c r="M132" s="568">
        <f t="shared" si="10"/>
        <v>0</v>
      </c>
    </row>
    <row r="133" spans="1:35" ht="78.75" hidden="1">
      <c r="A133" s="42" t="s">
        <v>340</v>
      </c>
      <c r="B133" s="42" t="s">
        <v>341</v>
      </c>
      <c r="C133" s="42" t="s">
        <v>11</v>
      </c>
      <c r="D133" s="41" t="s">
        <v>147</v>
      </c>
      <c r="E133" s="572" t="s">
        <v>824</v>
      </c>
      <c r="F133" s="974"/>
      <c r="G133" s="1099">
        <f t="shared" si="11"/>
        <v>0</v>
      </c>
      <c r="H133" s="1108"/>
      <c r="I133" s="1108"/>
      <c r="J133" s="1101"/>
      <c r="K133" s="568">
        <f t="shared" si="5"/>
        <v>0</v>
      </c>
      <c r="M133" s="568">
        <f t="shared" si="10"/>
        <v>0</v>
      </c>
    </row>
    <row r="134" spans="1:35" ht="63">
      <c r="A134" s="42" t="s">
        <v>343</v>
      </c>
      <c r="B134" s="42" t="s">
        <v>344</v>
      </c>
      <c r="C134" s="42" t="s">
        <v>293</v>
      </c>
      <c r="D134" s="1022" t="s">
        <v>176</v>
      </c>
      <c r="E134" s="323" t="s">
        <v>1039</v>
      </c>
      <c r="F134" s="323" t="s">
        <v>1040</v>
      </c>
      <c r="G134" s="1099">
        <f t="shared" si="11"/>
        <v>5247100</v>
      </c>
      <c r="H134" s="1101">
        <v>5247100</v>
      </c>
      <c r="I134" s="1101"/>
      <c r="J134" s="1101"/>
      <c r="K134" s="1543">
        <f t="shared" si="5"/>
        <v>5247100</v>
      </c>
      <c r="L134" s="1543">
        <f t="shared" ref="L134:L149" si="12">G134-H134-I134</f>
        <v>0</v>
      </c>
      <c r="M134" s="1543">
        <f t="shared" si="10"/>
        <v>0</v>
      </c>
      <c r="N134" s="1448"/>
      <c r="O134" s="1448"/>
      <c r="P134" s="1448"/>
      <c r="Q134" s="1448"/>
      <c r="R134" s="1448"/>
      <c r="S134" s="1448"/>
      <c r="T134" s="1448"/>
      <c r="U134" s="1448"/>
      <c r="V134" s="1448"/>
      <c r="W134" s="1448"/>
      <c r="X134" s="1448"/>
      <c r="Y134" s="1448"/>
      <c r="Z134" s="1448"/>
      <c r="AA134" s="1448"/>
      <c r="AB134" s="1448"/>
      <c r="AC134" s="1448"/>
      <c r="AD134" s="1448"/>
      <c r="AE134" s="1448"/>
      <c r="AF134" s="1448"/>
      <c r="AG134" s="1448"/>
      <c r="AH134" s="1448"/>
      <c r="AI134" s="1448"/>
    </row>
    <row r="135" spans="1:35" ht="47.25">
      <c r="A135" s="42" t="s">
        <v>343</v>
      </c>
      <c r="B135" s="42" t="s">
        <v>344</v>
      </c>
      <c r="C135" s="42" t="s">
        <v>293</v>
      </c>
      <c r="D135" s="1022" t="s">
        <v>176</v>
      </c>
      <c r="E135" s="323" t="s">
        <v>852</v>
      </c>
      <c r="F135" s="323" t="s">
        <v>1043</v>
      </c>
      <c r="G135" s="1099">
        <f t="shared" si="11"/>
        <v>1468800</v>
      </c>
      <c r="H135" s="1101">
        <v>1468800</v>
      </c>
      <c r="I135" s="1101"/>
      <c r="J135" s="1101"/>
      <c r="K135" s="1543">
        <f t="shared" si="5"/>
        <v>1468800</v>
      </c>
      <c r="L135" s="1543">
        <f t="shared" si="12"/>
        <v>0</v>
      </c>
      <c r="M135" s="1543">
        <f t="shared" si="10"/>
        <v>0</v>
      </c>
      <c r="N135" s="1448"/>
      <c r="O135" s="1448"/>
      <c r="P135" s="1448"/>
      <c r="Q135" s="1448"/>
      <c r="R135" s="1448"/>
      <c r="S135" s="1448"/>
      <c r="T135" s="1448"/>
      <c r="U135" s="1448"/>
      <c r="V135" s="1448"/>
      <c r="W135" s="1448"/>
      <c r="X135" s="1448"/>
      <c r="Y135" s="1448"/>
      <c r="Z135" s="1448"/>
      <c r="AA135" s="1448"/>
      <c r="AB135" s="1448"/>
      <c r="AC135" s="1448"/>
      <c r="AD135" s="1448"/>
      <c r="AE135" s="1448"/>
      <c r="AF135" s="1448"/>
      <c r="AG135" s="1448"/>
      <c r="AH135" s="1448"/>
      <c r="AI135" s="1448"/>
    </row>
    <row r="136" spans="1:35" ht="63">
      <c r="A136" s="42" t="s">
        <v>345</v>
      </c>
      <c r="B136" s="42" t="s">
        <v>346</v>
      </c>
      <c r="C136" s="42" t="s">
        <v>293</v>
      </c>
      <c r="D136" s="41" t="s">
        <v>366</v>
      </c>
      <c r="E136" s="323" t="s">
        <v>1039</v>
      </c>
      <c r="F136" s="323" t="s">
        <v>1040</v>
      </c>
      <c r="G136" s="1099">
        <f t="shared" si="11"/>
        <v>2459000</v>
      </c>
      <c r="H136" s="1101">
        <v>2459000</v>
      </c>
      <c r="I136" s="1101"/>
      <c r="J136" s="1101"/>
      <c r="K136" s="1543">
        <f t="shared" si="5"/>
        <v>2459000</v>
      </c>
      <c r="L136" s="1543">
        <f t="shared" si="12"/>
        <v>0</v>
      </c>
      <c r="M136" s="1543">
        <f t="shared" si="10"/>
        <v>0</v>
      </c>
      <c r="N136" s="1448"/>
      <c r="O136" s="1448"/>
      <c r="P136" s="1448"/>
      <c r="Q136" s="1448"/>
      <c r="R136" s="1448"/>
      <c r="S136" s="1448"/>
      <c r="T136" s="1448"/>
      <c r="U136" s="1448"/>
      <c r="V136" s="1448"/>
      <c r="W136" s="1448"/>
      <c r="X136" s="1448"/>
      <c r="Y136" s="1448"/>
      <c r="Z136" s="1448"/>
      <c r="AA136" s="1448"/>
      <c r="AB136" s="1448"/>
      <c r="AC136" s="1448"/>
      <c r="AD136" s="1448"/>
      <c r="AE136" s="1448"/>
      <c r="AF136" s="1448"/>
      <c r="AG136" s="1448"/>
      <c r="AH136" s="1448"/>
      <c r="AI136" s="1448"/>
    </row>
    <row r="137" spans="1:35" ht="47.25">
      <c r="A137" s="42" t="s">
        <v>345</v>
      </c>
      <c r="B137" s="42" t="s">
        <v>346</v>
      </c>
      <c r="C137" s="42" t="s">
        <v>293</v>
      </c>
      <c r="D137" s="41" t="s">
        <v>366</v>
      </c>
      <c r="E137" s="323" t="s">
        <v>852</v>
      </c>
      <c r="F137" s="323" t="s">
        <v>1043</v>
      </c>
      <c r="G137" s="1099">
        <f t="shared" si="11"/>
        <v>541000</v>
      </c>
      <c r="H137" s="1101">
        <v>541000</v>
      </c>
      <c r="I137" s="1101"/>
      <c r="J137" s="1101"/>
      <c r="K137" s="1543">
        <f t="shared" si="5"/>
        <v>541000</v>
      </c>
      <c r="L137" s="1543">
        <f t="shared" si="12"/>
        <v>0</v>
      </c>
      <c r="M137" s="1543">
        <f t="shared" si="10"/>
        <v>0</v>
      </c>
      <c r="N137" s="1448"/>
      <c r="O137" s="1448"/>
      <c r="P137" s="1448"/>
      <c r="Q137" s="1448"/>
      <c r="R137" s="1448"/>
      <c r="S137" s="1448"/>
      <c r="T137" s="1448"/>
      <c r="U137" s="1448"/>
      <c r="V137" s="1448"/>
      <c r="W137" s="1448"/>
      <c r="X137" s="1448"/>
      <c r="Y137" s="1448"/>
      <c r="Z137" s="1448"/>
      <c r="AA137" s="1448"/>
      <c r="AB137" s="1448"/>
      <c r="AC137" s="1448"/>
      <c r="AD137" s="1448"/>
      <c r="AE137" s="1448"/>
      <c r="AF137" s="1448"/>
      <c r="AG137" s="1448"/>
      <c r="AH137" s="1448"/>
      <c r="AI137" s="1448"/>
    </row>
    <row r="138" spans="1:35" ht="63">
      <c r="A138" s="42" t="s">
        <v>335</v>
      </c>
      <c r="B138" s="42" t="s">
        <v>347</v>
      </c>
      <c r="C138" s="42" t="s">
        <v>293</v>
      </c>
      <c r="D138" s="41" t="s">
        <v>804</v>
      </c>
      <c r="E138" s="323" t="s">
        <v>1039</v>
      </c>
      <c r="F138" s="323" t="s">
        <v>1040</v>
      </c>
      <c r="G138" s="1099">
        <f t="shared" si="11"/>
        <v>3801000</v>
      </c>
      <c r="H138" s="1101">
        <v>3761000</v>
      </c>
      <c r="I138" s="1101">
        <v>40000</v>
      </c>
      <c r="J138" s="1101">
        <v>40000</v>
      </c>
      <c r="K138" s="1543">
        <f t="shared" si="5"/>
        <v>3801000</v>
      </c>
      <c r="L138" s="1543">
        <f t="shared" si="12"/>
        <v>0</v>
      </c>
      <c r="M138" s="1543">
        <f t="shared" si="10"/>
        <v>0</v>
      </c>
      <c r="N138" s="1448"/>
      <c r="O138" s="1448"/>
      <c r="P138" s="1448"/>
      <c r="Q138" s="1448"/>
      <c r="R138" s="1448"/>
      <c r="S138" s="1448"/>
      <c r="T138" s="1448"/>
      <c r="U138" s="1448"/>
      <c r="V138" s="1448"/>
      <c r="W138" s="1448"/>
      <c r="X138" s="1448"/>
      <c r="Y138" s="1448"/>
      <c r="Z138" s="1448"/>
      <c r="AA138" s="1448"/>
      <c r="AB138" s="1448"/>
      <c r="AC138" s="1448"/>
      <c r="AD138" s="1448"/>
      <c r="AE138" s="1448"/>
      <c r="AF138" s="1448"/>
      <c r="AG138" s="1448"/>
      <c r="AH138" s="1448"/>
      <c r="AI138" s="1448"/>
    </row>
    <row r="139" spans="1:35" ht="63">
      <c r="A139" s="42" t="s">
        <v>348</v>
      </c>
      <c r="B139" s="42" t="s">
        <v>292</v>
      </c>
      <c r="C139" s="42" t="s">
        <v>293</v>
      </c>
      <c r="D139" s="41" t="s">
        <v>805</v>
      </c>
      <c r="E139" s="323" t="s">
        <v>1039</v>
      </c>
      <c r="F139" s="323" t="s">
        <v>1040</v>
      </c>
      <c r="G139" s="1099">
        <f t="shared" si="11"/>
        <v>311100</v>
      </c>
      <c r="H139" s="1101">
        <v>311100</v>
      </c>
      <c r="I139" s="1101"/>
      <c r="J139" s="1101"/>
      <c r="K139" s="1543">
        <f t="shared" si="5"/>
        <v>311100</v>
      </c>
      <c r="L139" s="1543">
        <f t="shared" si="12"/>
        <v>0</v>
      </c>
      <c r="M139" s="1543">
        <f t="shared" si="10"/>
        <v>0</v>
      </c>
      <c r="N139" s="1448"/>
      <c r="O139" s="1448"/>
      <c r="P139" s="1448"/>
      <c r="Q139" s="1448"/>
      <c r="R139" s="1448"/>
      <c r="S139" s="1448"/>
      <c r="T139" s="1448"/>
      <c r="U139" s="1448"/>
      <c r="V139" s="1448"/>
      <c r="W139" s="1448"/>
      <c r="X139" s="1448"/>
      <c r="Y139" s="1448"/>
      <c r="Z139" s="1448"/>
      <c r="AA139" s="1448"/>
      <c r="AB139" s="1448"/>
      <c r="AC139" s="1448"/>
      <c r="AD139" s="1448"/>
      <c r="AE139" s="1448"/>
      <c r="AF139" s="1448"/>
      <c r="AG139" s="1448"/>
      <c r="AH139" s="1448"/>
      <c r="AI139" s="1448"/>
    </row>
    <row r="140" spans="1:35" ht="69" customHeight="1">
      <c r="A140" s="42" t="s">
        <v>349</v>
      </c>
      <c r="B140" s="42" t="s">
        <v>350</v>
      </c>
      <c r="C140" s="42" t="s">
        <v>293</v>
      </c>
      <c r="D140" s="41" t="s">
        <v>47</v>
      </c>
      <c r="E140" s="323" t="s">
        <v>1039</v>
      </c>
      <c r="F140" s="323" t="s">
        <v>1040</v>
      </c>
      <c r="G140" s="1099">
        <f t="shared" si="11"/>
        <v>38980530</v>
      </c>
      <c r="H140" s="1101">
        <v>30339400</v>
      </c>
      <c r="I140" s="1101">
        <v>8641130</v>
      </c>
      <c r="J140" s="1101">
        <v>8641130</v>
      </c>
      <c r="K140" s="1543">
        <f t="shared" si="5"/>
        <v>38980530</v>
      </c>
      <c r="L140" s="1543">
        <f t="shared" si="12"/>
        <v>0</v>
      </c>
      <c r="M140" s="1543">
        <f t="shared" si="10"/>
        <v>0</v>
      </c>
      <c r="N140" s="1448"/>
      <c r="O140" s="1448"/>
      <c r="P140" s="1448"/>
      <c r="Q140" s="1448"/>
      <c r="R140" s="1448"/>
      <c r="S140" s="1448"/>
      <c r="T140" s="1448"/>
      <c r="U140" s="1448"/>
      <c r="V140" s="1448"/>
      <c r="W140" s="1448"/>
      <c r="X140" s="1448"/>
      <c r="Y140" s="1448"/>
      <c r="Z140" s="1448"/>
      <c r="AA140" s="1448"/>
      <c r="AB140" s="1448"/>
      <c r="AC140" s="1448"/>
      <c r="AD140" s="1448"/>
      <c r="AE140" s="1448"/>
      <c r="AF140" s="1448"/>
      <c r="AG140" s="1448"/>
      <c r="AH140" s="1448"/>
      <c r="AI140" s="1448"/>
    </row>
    <row r="141" spans="1:35" ht="70.5" customHeight="1">
      <c r="A141" s="42" t="s">
        <v>351</v>
      </c>
      <c r="B141" s="42" t="s">
        <v>352</v>
      </c>
      <c r="C141" s="42" t="s">
        <v>293</v>
      </c>
      <c r="D141" s="41" t="s">
        <v>266</v>
      </c>
      <c r="E141" s="323" t="s">
        <v>1039</v>
      </c>
      <c r="F141" s="323" t="s">
        <v>1040</v>
      </c>
      <c r="G141" s="1099">
        <f t="shared" si="11"/>
        <v>4998200</v>
      </c>
      <c r="H141" s="1101">
        <v>4592200</v>
      </c>
      <c r="I141" s="1101">
        <v>406000</v>
      </c>
      <c r="J141" s="1101">
        <v>406000</v>
      </c>
      <c r="K141" s="1543">
        <f t="shared" ref="K141:K204" si="13">SUM(H141:I141)</f>
        <v>4998200</v>
      </c>
      <c r="L141" s="1543">
        <f t="shared" si="12"/>
        <v>0</v>
      </c>
      <c r="M141" s="1543">
        <f t="shared" si="10"/>
        <v>0</v>
      </c>
      <c r="N141" s="1448"/>
      <c r="O141" s="1448"/>
      <c r="P141" s="1448"/>
      <c r="Q141" s="1448"/>
      <c r="R141" s="1448"/>
      <c r="S141" s="1448"/>
      <c r="T141" s="1448"/>
      <c r="U141" s="1448"/>
      <c r="V141" s="1448"/>
      <c r="W141" s="1448"/>
      <c r="X141" s="1448"/>
      <c r="Y141" s="1448"/>
      <c r="Z141" s="1448"/>
      <c r="AA141" s="1448"/>
      <c r="AB141" s="1448"/>
      <c r="AC141" s="1448"/>
      <c r="AD141" s="1448"/>
      <c r="AE141" s="1448"/>
      <c r="AF141" s="1448"/>
      <c r="AG141" s="1448"/>
      <c r="AH141" s="1448"/>
      <c r="AI141" s="1448"/>
    </row>
    <row r="142" spans="1:35" ht="63">
      <c r="A142" s="42" t="s">
        <v>234</v>
      </c>
      <c r="B142" s="42" t="s">
        <v>235</v>
      </c>
      <c r="C142" s="42" t="s">
        <v>293</v>
      </c>
      <c r="D142" s="41" t="s">
        <v>537</v>
      </c>
      <c r="E142" s="323" t="s">
        <v>1039</v>
      </c>
      <c r="F142" s="323" t="s">
        <v>1040</v>
      </c>
      <c r="G142" s="1099">
        <f t="shared" si="11"/>
        <v>16967770</v>
      </c>
      <c r="H142" s="1101">
        <v>15599300</v>
      </c>
      <c r="I142" s="1101">
        <v>1368470</v>
      </c>
      <c r="J142" s="1101">
        <v>1368470</v>
      </c>
      <c r="K142" s="1543">
        <f t="shared" si="13"/>
        <v>16967770</v>
      </c>
      <c r="L142" s="1543">
        <f t="shared" si="12"/>
        <v>0</v>
      </c>
      <c r="M142" s="1543">
        <f t="shared" si="10"/>
        <v>0</v>
      </c>
      <c r="N142" s="1448"/>
      <c r="O142" s="1448"/>
      <c r="P142" s="1448"/>
      <c r="Q142" s="1448"/>
      <c r="R142" s="1448"/>
      <c r="S142" s="1448"/>
      <c r="T142" s="1448"/>
      <c r="U142" s="1448"/>
      <c r="V142" s="1448"/>
      <c r="W142" s="1448"/>
      <c r="X142" s="1448"/>
      <c r="Y142" s="1448"/>
      <c r="Z142" s="1448"/>
      <c r="AA142" s="1448"/>
      <c r="AB142" s="1448"/>
      <c r="AC142" s="1448"/>
      <c r="AD142" s="1448"/>
      <c r="AE142" s="1448"/>
      <c r="AF142" s="1448"/>
      <c r="AG142" s="1448"/>
      <c r="AH142" s="1448"/>
      <c r="AI142" s="1448"/>
    </row>
    <row r="143" spans="1:35" ht="78.75">
      <c r="A143" s="1143" t="s">
        <v>204</v>
      </c>
      <c r="B143" s="1143" t="s">
        <v>205</v>
      </c>
      <c r="C143" s="1143" t="s">
        <v>293</v>
      </c>
      <c r="D143" s="40" t="s">
        <v>206</v>
      </c>
      <c r="E143" s="323" t="s">
        <v>1039</v>
      </c>
      <c r="F143" s="323" t="s">
        <v>1040</v>
      </c>
      <c r="G143" s="1099">
        <f t="shared" si="11"/>
        <v>1144900</v>
      </c>
      <c r="H143" s="1101">
        <v>1144900</v>
      </c>
      <c r="I143" s="1101"/>
      <c r="J143" s="1101"/>
      <c r="K143" s="1543">
        <f t="shared" si="13"/>
        <v>1144900</v>
      </c>
      <c r="L143" s="1543">
        <f t="shared" si="12"/>
        <v>0</v>
      </c>
      <c r="M143" s="1543">
        <f t="shared" si="10"/>
        <v>0</v>
      </c>
      <c r="N143" s="1448"/>
      <c r="O143" s="1448"/>
      <c r="P143" s="1448"/>
      <c r="Q143" s="1448"/>
      <c r="R143" s="1448"/>
      <c r="S143" s="1448"/>
      <c r="T143" s="1448"/>
      <c r="U143" s="1448"/>
      <c r="V143" s="1448"/>
      <c r="W143" s="1448"/>
      <c r="X143" s="1448"/>
      <c r="Y143" s="1448"/>
      <c r="Z143" s="1448"/>
      <c r="AA143" s="1448"/>
      <c r="AB143" s="1448"/>
      <c r="AC143" s="1448"/>
      <c r="AD143" s="1448"/>
      <c r="AE143" s="1448"/>
      <c r="AF143" s="1448"/>
      <c r="AG143" s="1448"/>
      <c r="AH143" s="1448"/>
      <c r="AI143" s="1448"/>
    </row>
    <row r="144" spans="1:35" ht="78.75">
      <c r="A144" s="1143" t="s">
        <v>207</v>
      </c>
      <c r="B144" s="1143" t="s">
        <v>208</v>
      </c>
      <c r="C144" s="1143" t="s">
        <v>293</v>
      </c>
      <c r="D144" s="40" t="s">
        <v>57</v>
      </c>
      <c r="E144" s="323" t="s">
        <v>1039</v>
      </c>
      <c r="F144" s="323" t="s">
        <v>1040</v>
      </c>
      <c r="G144" s="1099">
        <f t="shared" si="11"/>
        <v>283800</v>
      </c>
      <c r="H144" s="1101">
        <v>283800</v>
      </c>
      <c r="I144" s="1101"/>
      <c r="J144" s="1101"/>
      <c r="K144" s="1543">
        <f t="shared" si="13"/>
        <v>283800</v>
      </c>
      <c r="L144" s="1543">
        <f t="shared" si="12"/>
        <v>0</v>
      </c>
      <c r="M144" s="1543">
        <f t="shared" si="10"/>
        <v>0</v>
      </c>
      <c r="N144" s="1448"/>
      <c r="O144" s="1448"/>
      <c r="P144" s="1448"/>
      <c r="Q144" s="1448"/>
      <c r="R144" s="1448"/>
      <c r="S144" s="1448"/>
      <c r="T144" s="1448"/>
      <c r="U144" s="1448"/>
      <c r="V144" s="1448"/>
      <c r="W144" s="1448"/>
      <c r="X144" s="1448"/>
      <c r="Y144" s="1448"/>
      <c r="Z144" s="1448"/>
      <c r="AA144" s="1448"/>
      <c r="AB144" s="1448"/>
      <c r="AC144" s="1448"/>
      <c r="AD144" s="1448"/>
      <c r="AE144" s="1448"/>
      <c r="AF144" s="1448"/>
      <c r="AG144" s="1448"/>
      <c r="AH144" s="1448"/>
      <c r="AI144" s="1448"/>
    </row>
    <row r="145" spans="1:35" ht="63">
      <c r="A145" s="42" t="s">
        <v>58</v>
      </c>
      <c r="B145" s="42" t="s">
        <v>59</v>
      </c>
      <c r="C145" s="42" t="s">
        <v>293</v>
      </c>
      <c r="D145" s="41" t="s">
        <v>60</v>
      </c>
      <c r="E145" s="323" t="s">
        <v>1039</v>
      </c>
      <c r="F145" s="323" t="s">
        <v>1040</v>
      </c>
      <c r="G145" s="1099">
        <f t="shared" si="11"/>
        <v>1311700</v>
      </c>
      <c r="H145" s="1101">
        <v>1311700</v>
      </c>
      <c r="I145" s="1101"/>
      <c r="J145" s="1101"/>
      <c r="K145" s="1543">
        <f t="shared" si="13"/>
        <v>1311700</v>
      </c>
      <c r="L145" s="1543">
        <f t="shared" si="12"/>
        <v>0</v>
      </c>
      <c r="M145" s="1543">
        <f t="shared" si="10"/>
        <v>0</v>
      </c>
      <c r="N145" s="1448"/>
      <c r="O145" s="1448"/>
      <c r="P145" s="1448"/>
      <c r="Q145" s="1448"/>
      <c r="R145" s="1448"/>
      <c r="S145" s="1448"/>
      <c r="T145" s="1448"/>
      <c r="U145" s="1448"/>
      <c r="V145" s="1448"/>
      <c r="W145" s="1448"/>
      <c r="X145" s="1448"/>
      <c r="Y145" s="1448"/>
      <c r="Z145" s="1448"/>
      <c r="AA145" s="1448"/>
      <c r="AB145" s="1448"/>
      <c r="AC145" s="1448"/>
      <c r="AD145" s="1448"/>
      <c r="AE145" s="1448"/>
      <c r="AF145" s="1448"/>
      <c r="AG145" s="1448"/>
      <c r="AH145" s="1448"/>
      <c r="AI145" s="1448"/>
    </row>
    <row r="146" spans="1:35" ht="78.75">
      <c r="A146" s="1143" t="s">
        <v>61</v>
      </c>
      <c r="B146" s="1143" t="s">
        <v>62</v>
      </c>
      <c r="C146" s="1143" t="s">
        <v>293</v>
      </c>
      <c r="D146" s="40" t="s">
        <v>317</v>
      </c>
      <c r="E146" s="323" t="s">
        <v>1039</v>
      </c>
      <c r="F146" s="323" t="s">
        <v>1040</v>
      </c>
      <c r="G146" s="1099">
        <f t="shared" si="11"/>
        <v>1058700</v>
      </c>
      <c r="H146" s="1101">
        <v>1031900</v>
      </c>
      <c r="I146" s="1101">
        <v>26800</v>
      </c>
      <c r="J146" s="1101">
        <v>26800</v>
      </c>
      <c r="K146" s="1543">
        <f t="shared" si="13"/>
        <v>1058700</v>
      </c>
      <c r="L146" s="1543">
        <f t="shared" si="12"/>
        <v>0</v>
      </c>
      <c r="M146" s="1543">
        <f t="shared" si="10"/>
        <v>0</v>
      </c>
      <c r="N146" s="1448"/>
      <c r="O146" s="1448"/>
      <c r="P146" s="1448"/>
      <c r="Q146" s="1448"/>
      <c r="R146" s="1448"/>
      <c r="S146" s="1448"/>
      <c r="T146" s="1448"/>
      <c r="U146" s="1448"/>
      <c r="V146" s="1448"/>
      <c r="W146" s="1448"/>
      <c r="X146" s="1448"/>
      <c r="Y146" s="1448"/>
      <c r="Z146" s="1448"/>
      <c r="AA146" s="1448"/>
      <c r="AB146" s="1448"/>
      <c r="AC146" s="1448"/>
      <c r="AD146" s="1448"/>
      <c r="AE146" s="1448"/>
      <c r="AF146" s="1448"/>
      <c r="AG146" s="1448"/>
      <c r="AH146" s="1448"/>
      <c r="AI146" s="1448"/>
    </row>
    <row r="147" spans="1:35" ht="63">
      <c r="A147" s="1143" t="s">
        <v>320</v>
      </c>
      <c r="B147" s="1143" t="s">
        <v>319</v>
      </c>
      <c r="C147" s="1143" t="s">
        <v>293</v>
      </c>
      <c r="D147" s="40" t="s">
        <v>318</v>
      </c>
      <c r="E147" s="323" t="s">
        <v>1039</v>
      </c>
      <c r="F147" s="323" t="s">
        <v>1040</v>
      </c>
      <c r="G147" s="1099">
        <f t="shared" si="11"/>
        <v>11308600</v>
      </c>
      <c r="H147" s="1101">
        <v>10198600</v>
      </c>
      <c r="I147" s="1101">
        <v>1110000</v>
      </c>
      <c r="J147" s="1101">
        <v>1110000</v>
      </c>
      <c r="K147" s="1543">
        <f t="shared" si="13"/>
        <v>11308600</v>
      </c>
      <c r="L147" s="1543">
        <f t="shared" si="12"/>
        <v>0</v>
      </c>
      <c r="M147" s="1543">
        <f t="shared" si="10"/>
        <v>0</v>
      </c>
      <c r="N147" s="1448"/>
      <c r="O147" s="1448"/>
      <c r="P147" s="1448"/>
      <c r="Q147" s="1448"/>
      <c r="R147" s="1448"/>
      <c r="S147" s="1448"/>
      <c r="T147" s="1448"/>
      <c r="U147" s="1448"/>
      <c r="V147" s="1448"/>
      <c r="W147" s="1448"/>
      <c r="X147" s="1448"/>
      <c r="Y147" s="1448"/>
      <c r="Z147" s="1448"/>
      <c r="AA147" s="1448"/>
      <c r="AB147" s="1448"/>
      <c r="AC147" s="1448"/>
      <c r="AD147" s="1448"/>
      <c r="AE147" s="1448"/>
      <c r="AF147" s="1448"/>
      <c r="AG147" s="1448"/>
      <c r="AH147" s="1448"/>
      <c r="AI147" s="1448"/>
    </row>
    <row r="148" spans="1:35" ht="84.75" customHeight="1">
      <c r="A148" s="42" t="s">
        <v>542</v>
      </c>
      <c r="B148" s="42" t="s">
        <v>541</v>
      </c>
      <c r="C148" s="42" t="s">
        <v>543</v>
      </c>
      <c r="D148" s="41" t="s">
        <v>785</v>
      </c>
      <c r="E148" s="307" t="s">
        <v>1052</v>
      </c>
      <c r="F148" s="329" t="s">
        <v>1069</v>
      </c>
      <c r="G148" s="1099">
        <f t="shared" si="11"/>
        <v>63400</v>
      </c>
      <c r="H148" s="1101">
        <v>47100</v>
      </c>
      <c r="I148" s="1101">
        <v>16300</v>
      </c>
      <c r="J148" s="1101"/>
      <c r="K148" s="1543">
        <f t="shared" si="13"/>
        <v>63400</v>
      </c>
      <c r="L148" s="1543">
        <f t="shared" si="12"/>
        <v>0</v>
      </c>
      <c r="M148" s="1543">
        <f t="shared" si="10"/>
        <v>0</v>
      </c>
      <c r="N148" s="1448"/>
      <c r="O148" s="1448"/>
      <c r="P148" s="1448"/>
      <c r="Q148" s="1448"/>
      <c r="R148" s="1448"/>
      <c r="S148" s="1448"/>
      <c r="T148" s="1448"/>
      <c r="U148" s="1448"/>
      <c r="V148" s="1448"/>
      <c r="W148" s="1448"/>
      <c r="X148" s="1448"/>
      <c r="Y148" s="1448"/>
      <c r="Z148" s="1448"/>
      <c r="AA148" s="1448"/>
      <c r="AB148" s="1448"/>
      <c r="AC148" s="1448"/>
      <c r="AD148" s="1448"/>
      <c r="AE148" s="1448"/>
      <c r="AF148" s="1448"/>
      <c r="AG148" s="1448"/>
      <c r="AH148" s="1448"/>
      <c r="AI148" s="1448"/>
    </row>
    <row r="149" spans="1:35" ht="63">
      <c r="A149" s="42" t="s">
        <v>956</v>
      </c>
      <c r="B149" s="42" t="s">
        <v>747</v>
      </c>
      <c r="C149" s="42" t="s">
        <v>521</v>
      </c>
      <c r="D149" s="41" t="s">
        <v>1175</v>
      </c>
      <c r="E149" s="323" t="s">
        <v>1039</v>
      </c>
      <c r="F149" s="323" t="s">
        <v>1040</v>
      </c>
      <c r="G149" s="1099">
        <f t="shared" si="11"/>
        <v>200000</v>
      </c>
      <c r="H149" s="487"/>
      <c r="I149" s="1101">
        <v>200000</v>
      </c>
      <c r="J149" s="1101">
        <v>200000</v>
      </c>
      <c r="K149" s="1543">
        <f t="shared" si="13"/>
        <v>200000</v>
      </c>
      <c r="L149" s="1543">
        <f t="shared" si="12"/>
        <v>0</v>
      </c>
      <c r="M149" s="1543">
        <f t="shared" si="10"/>
        <v>0</v>
      </c>
      <c r="N149" s="1448"/>
      <c r="O149" s="1448"/>
      <c r="P149" s="1448"/>
      <c r="Q149" s="1448"/>
      <c r="R149" s="1448"/>
      <c r="S149" s="1448"/>
      <c r="T149" s="1448"/>
      <c r="U149" s="1448"/>
      <c r="V149" s="1448"/>
      <c r="W149" s="1448"/>
      <c r="X149" s="1448"/>
      <c r="Y149" s="1448"/>
      <c r="Z149" s="1448"/>
      <c r="AA149" s="1448"/>
      <c r="AB149" s="1448"/>
      <c r="AC149" s="1448"/>
      <c r="AD149" s="1448"/>
      <c r="AE149" s="1448"/>
      <c r="AF149" s="1448"/>
      <c r="AG149" s="1448"/>
      <c r="AH149" s="1448"/>
      <c r="AI149" s="1448"/>
    </row>
    <row r="150" spans="1:35" s="17" customFormat="1" ht="31.5" hidden="1">
      <c r="A150" s="42" t="s">
        <v>838</v>
      </c>
      <c r="B150" s="42" t="s">
        <v>749</v>
      </c>
      <c r="C150" s="42" t="s">
        <v>278</v>
      </c>
      <c r="D150" s="41" t="s">
        <v>750</v>
      </c>
      <c r="E150" s="322" t="s">
        <v>852</v>
      </c>
      <c r="F150" s="444"/>
      <c r="G150" s="1099">
        <f t="shared" si="11"/>
        <v>0</v>
      </c>
      <c r="H150" s="1105"/>
      <c r="I150" s="1105"/>
      <c r="J150" s="1105"/>
      <c r="K150" s="568">
        <f t="shared" si="13"/>
        <v>0</v>
      </c>
      <c r="M150" s="83">
        <f>G150-I150-H150</f>
        <v>0</v>
      </c>
    </row>
    <row r="151" spans="1:35" s="17" customFormat="1" ht="63">
      <c r="A151" s="42" t="s">
        <v>821</v>
      </c>
      <c r="B151" s="42" t="s">
        <v>822</v>
      </c>
      <c r="C151" s="42" t="s">
        <v>10</v>
      </c>
      <c r="D151" s="41" t="s">
        <v>823</v>
      </c>
      <c r="E151" s="322" t="s">
        <v>1900</v>
      </c>
      <c r="F151" s="444" t="s">
        <v>1901</v>
      </c>
      <c r="G151" s="1244">
        <f t="shared" si="11"/>
        <v>82735.899999999994</v>
      </c>
      <c r="H151" s="1105"/>
      <c r="I151" s="1243">
        <v>82735.899999999994</v>
      </c>
      <c r="J151" s="1105"/>
      <c r="K151" s="1543">
        <f t="shared" si="13"/>
        <v>82735.899999999994</v>
      </c>
      <c r="L151" s="1448"/>
      <c r="M151" s="1543"/>
      <c r="N151" s="1448"/>
      <c r="O151" s="1448"/>
      <c r="P151" s="1448"/>
      <c r="Q151" s="1448"/>
      <c r="R151" s="1448"/>
      <c r="S151" s="1448"/>
      <c r="T151" s="1448"/>
      <c r="U151" s="1448"/>
      <c r="V151" s="1448"/>
      <c r="W151" s="1448"/>
      <c r="X151" s="1448"/>
      <c r="Y151" s="1448"/>
      <c r="Z151" s="1448"/>
      <c r="AA151" s="1448"/>
      <c r="AB151" s="1448"/>
      <c r="AC151" s="1448"/>
      <c r="AD151" s="1448"/>
      <c r="AE151" s="1448"/>
      <c r="AF151" s="1448"/>
      <c r="AG151" s="1448"/>
      <c r="AH151" s="1448"/>
      <c r="AI151" s="1448"/>
    </row>
    <row r="152" spans="1:35" ht="63">
      <c r="A152" s="1144" t="s">
        <v>538</v>
      </c>
      <c r="B152" s="1144" t="s">
        <v>539</v>
      </c>
      <c r="C152" s="1144" t="s">
        <v>67</v>
      </c>
      <c r="D152" s="1145" t="s">
        <v>540</v>
      </c>
      <c r="E152" s="307" t="s">
        <v>1052</v>
      </c>
      <c r="F152" s="329" t="s">
        <v>1069</v>
      </c>
      <c r="G152" s="1099">
        <f t="shared" si="11"/>
        <v>1057400</v>
      </c>
      <c r="H152" s="1142">
        <v>785400</v>
      </c>
      <c r="I152" s="1142">
        <v>272000</v>
      </c>
      <c r="J152" s="1142"/>
      <c r="K152" s="1543">
        <f t="shared" si="13"/>
        <v>1057400</v>
      </c>
      <c r="L152" s="1543">
        <f>G152-H152-I152</f>
        <v>0</v>
      </c>
      <c r="M152" s="1543">
        <f>G152-I152-H152</f>
        <v>0</v>
      </c>
      <c r="N152" s="1448"/>
      <c r="O152" s="1448"/>
      <c r="P152" s="1448"/>
      <c r="Q152" s="1448"/>
      <c r="R152" s="1448"/>
      <c r="S152" s="1448"/>
      <c r="T152" s="1448"/>
      <c r="U152" s="1448"/>
      <c r="V152" s="1448"/>
      <c r="W152" s="1448"/>
      <c r="X152" s="1448"/>
      <c r="Y152" s="1448"/>
      <c r="Z152" s="1448"/>
      <c r="AA152" s="1448"/>
      <c r="AB152" s="1448"/>
      <c r="AC152" s="1448"/>
      <c r="AD152" s="1448"/>
      <c r="AE152" s="1448"/>
      <c r="AF152" s="1448"/>
      <c r="AG152" s="1448"/>
      <c r="AH152" s="1448"/>
      <c r="AI152" s="1448"/>
    </row>
    <row r="153" spans="1:35" ht="47.25">
      <c r="A153" s="287" t="s">
        <v>544</v>
      </c>
      <c r="B153" s="287"/>
      <c r="C153" s="287"/>
      <c r="D153" s="286" t="s">
        <v>896</v>
      </c>
      <c r="E153" s="320"/>
      <c r="F153" s="965"/>
      <c r="G153" s="1098">
        <f>G154</f>
        <v>72615015</v>
      </c>
      <c r="H153" s="1098">
        <f>H154</f>
        <v>5452000</v>
      </c>
      <c r="I153" s="1098">
        <f>I154</f>
        <v>67163015</v>
      </c>
      <c r="J153" s="1098">
        <f>J154</f>
        <v>57715115</v>
      </c>
      <c r="K153" s="1543">
        <f t="shared" si="13"/>
        <v>72615015</v>
      </c>
      <c r="L153" s="1543">
        <f>G153-H153-I153</f>
        <v>0</v>
      </c>
      <c r="M153" s="1543">
        <f>G153-I153-H153</f>
        <v>0</v>
      </c>
      <c r="N153" s="1448"/>
      <c r="O153" s="1448"/>
      <c r="P153" s="1448"/>
      <c r="Q153" s="1448"/>
      <c r="R153" s="1448"/>
      <c r="S153" s="1448"/>
      <c r="T153" s="1448"/>
      <c r="U153" s="1448"/>
      <c r="V153" s="1448"/>
      <c r="W153" s="1448"/>
      <c r="X153" s="1448"/>
      <c r="Y153" s="1448"/>
      <c r="Z153" s="1448"/>
      <c r="AA153" s="1448"/>
      <c r="AB153" s="1448"/>
      <c r="AC153" s="1448"/>
      <c r="AD153" s="1448"/>
      <c r="AE153" s="1448"/>
      <c r="AF153" s="1448"/>
      <c r="AG153" s="1448"/>
      <c r="AH153" s="1448"/>
      <c r="AI153" s="1448"/>
    </row>
    <row r="154" spans="1:35" ht="47.25">
      <c r="A154" s="287" t="s">
        <v>545</v>
      </c>
      <c r="B154" s="287"/>
      <c r="C154" s="287"/>
      <c r="D154" s="286" t="s">
        <v>896</v>
      </c>
      <c r="E154" s="320"/>
      <c r="F154" s="965"/>
      <c r="G154" s="1098">
        <f>SUM(G155:G191)</f>
        <v>72615015</v>
      </c>
      <c r="H154" s="1098">
        <f>SUM(H155:H191)</f>
        <v>5452000</v>
      </c>
      <c r="I154" s="1098">
        <f>SUM(I155:I191)</f>
        <v>67163015</v>
      </c>
      <c r="J154" s="1098">
        <f>SUM(J155:J191)</f>
        <v>57715115</v>
      </c>
      <c r="K154" s="1543">
        <f t="shared" si="13"/>
        <v>72615015</v>
      </c>
      <c r="L154" s="1543">
        <f>G154-H154-I154</f>
        <v>0</v>
      </c>
      <c r="M154" s="1543">
        <f>G154-I154-H154</f>
        <v>0</v>
      </c>
      <c r="N154" s="1448"/>
      <c r="O154" s="1448"/>
      <c r="P154" s="1448"/>
      <c r="Q154" s="1448"/>
      <c r="R154" s="1448"/>
      <c r="S154" s="1448"/>
      <c r="T154" s="1448"/>
      <c r="U154" s="1448"/>
      <c r="V154" s="1448"/>
      <c r="W154" s="1448"/>
      <c r="X154" s="1448"/>
      <c r="Y154" s="1448"/>
      <c r="Z154" s="1448"/>
      <c r="AA154" s="1448"/>
      <c r="AB154" s="1448"/>
      <c r="AC154" s="1448"/>
      <c r="AD154" s="1448"/>
      <c r="AE154" s="1448"/>
      <c r="AF154" s="1448"/>
      <c r="AG154" s="1448"/>
      <c r="AH154" s="1448"/>
      <c r="AI154" s="1448"/>
    </row>
    <row r="155" spans="1:35" s="17" customFormat="1" ht="94.5" hidden="1">
      <c r="A155" s="42" t="s">
        <v>546</v>
      </c>
      <c r="B155" s="42" t="s">
        <v>15</v>
      </c>
      <c r="C155" s="42" t="s">
        <v>12</v>
      </c>
      <c r="D155" s="41" t="s">
        <v>16</v>
      </c>
      <c r="E155" s="338"/>
      <c r="F155" s="976"/>
      <c r="G155" s="1099">
        <f t="shared" ref="G155:G191" si="14">H155+I155</f>
        <v>0</v>
      </c>
      <c r="H155" s="1099"/>
      <c r="I155" s="1099"/>
      <c r="J155" s="1099"/>
      <c r="K155" s="568">
        <f t="shared" si="13"/>
        <v>0</v>
      </c>
    </row>
    <row r="156" spans="1:35" s="17" customFormat="1" ht="141.75">
      <c r="A156" s="1015" t="s">
        <v>948</v>
      </c>
      <c r="B156" s="1015" t="s">
        <v>17</v>
      </c>
      <c r="C156" s="1015" t="s">
        <v>12</v>
      </c>
      <c r="D156" s="1022" t="s">
        <v>358</v>
      </c>
      <c r="E156" s="323" t="s">
        <v>1948</v>
      </c>
      <c r="F156" s="329" t="s">
        <v>1949</v>
      </c>
      <c r="G156" s="1099">
        <f t="shared" si="14"/>
        <v>293177</v>
      </c>
      <c r="H156" s="1099"/>
      <c r="I156" s="1099">
        <v>293177</v>
      </c>
      <c r="J156" s="1099">
        <v>293177</v>
      </c>
      <c r="K156" s="1543">
        <f t="shared" si="13"/>
        <v>293177</v>
      </c>
      <c r="L156" s="1448"/>
      <c r="M156" s="1448"/>
      <c r="N156" s="1448"/>
      <c r="O156" s="1448"/>
      <c r="P156" s="1448"/>
      <c r="Q156" s="1448"/>
      <c r="R156" s="1448"/>
      <c r="S156" s="1448"/>
      <c r="T156" s="1448"/>
      <c r="U156" s="1448"/>
      <c r="V156" s="1448"/>
      <c r="W156" s="1448"/>
      <c r="X156" s="1448"/>
      <c r="Y156" s="1448"/>
      <c r="Z156" s="1448"/>
      <c r="AA156" s="1448"/>
      <c r="AB156" s="1448"/>
      <c r="AC156" s="1448"/>
      <c r="AD156" s="1448"/>
      <c r="AE156" s="1448"/>
      <c r="AF156" s="1448"/>
      <c r="AG156" s="1448"/>
      <c r="AH156" s="1448"/>
      <c r="AI156" s="1448"/>
    </row>
    <row r="157" spans="1:35" s="17" customFormat="1" ht="63">
      <c r="A157" s="42" t="s">
        <v>547</v>
      </c>
      <c r="B157" s="42" t="s">
        <v>20</v>
      </c>
      <c r="C157" s="42" t="s">
        <v>21</v>
      </c>
      <c r="D157" s="41" t="s">
        <v>421</v>
      </c>
      <c r="E157" s="323" t="s">
        <v>1948</v>
      </c>
      <c r="F157" s="329" t="s">
        <v>1949</v>
      </c>
      <c r="G157" s="1099">
        <f t="shared" si="14"/>
        <v>500000</v>
      </c>
      <c r="H157" s="1099"/>
      <c r="I157" s="1099">
        <v>500000</v>
      </c>
      <c r="J157" s="1099">
        <v>500000</v>
      </c>
      <c r="K157" s="1543">
        <f t="shared" si="13"/>
        <v>500000</v>
      </c>
      <c r="L157" s="1448"/>
      <c r="M157" s="1448"/>
      <c r="N157" s="1448"/>
      <c r="O157" s="1448"/>
      <c r="P157" s="1448"/>
      <c r="Q157" s="1448"/>
      <c r="R157" s="1448"/>
      <c r="S157" s="1448"/>
      <c r="T157" s="1448"/>
      <c r="U157" s="1448"/>
      <c r="V157" s="1448"/>
      <c r="W157" s="1448"/>
      <c r="X157" s="1448"/>
      <c r="Y157" s="1448"/>
      <c r="Z157" s="1448"/>
      <c r="AA157" s="1448"/>
      <c r="AB157" s="1448"/>
      <c r="AC157" s="1448"/>
      <c r="AD157" s="1448"/>
      <c r="AE157" s="1448"/>
      <c r="AF157" s="1448"/>
      <c r="AG157" s="1448"/>
      <c r="AH157" s="1448"/>
      <c r="AI157" s="1448"/>
    </row>
    <row r="158" spans="1:35" s="17" customFormat="1" ht="47.25" hidden="1">
      <c r="A158" s="42" t="s">
        <v>548</v>
      </c>
      <c r="B158" s="42" t="s">
        <v>8</v>
      </c>
      <c r="C158" s="42" t="s">
        <v>9</v>
      </c>
      <c r="D158" s="41" t="s">
        <v>69</v>
      </c>
      <c r="E158" s="316"/>
      <c r="F158" s="327"/>
      <c r="G158" s="1099">
        <f t="shared" si="14"/>
        <v>0</v>
      </c>
      <c r="H158" s="1099"/>
      <c r="I158" s="1099"/>
      <c r="J158" s="1099"/>
      <c r="K158" s="568">
        <f t="shared" si="13"/>
        <v>0</v>
      </c>
    </row>
    <row r="159" spans="1:35" s="17" customFormat="1" ht="63">
      <c r="A159" s="42" t="s">
        <v>549</v>
      </c>
      <c r="B159" s="42" t="s">
        <v>70</v>
      </c>
      <c r="C159" s="42" t="s">
        <v>123</v>
      </c>
      <c r="D159" s="41" t="s">
        <v>71</v>
      </c>
      <c r="E159" s="323" t="s">
        <v>1948</v>
      </c>
      <c r="F159" s="329" t="s">
        <v>1949</v>
      </c>
      <c r="G159" s="1099">
        <f t="shared" si="14"/>
        <v>53375</v>
      </c>
      <c r="H159" s="1103"/>
      <c r="I159" s="1103">
        <v>53375</v>
      </c>
      <c r="J159" s="1103">
        <v>53375</v>
      </c>
      <c r="K159" s="1543">
        <f t="shared" si="13"/>
        <v>53375</v>
      </c>
      <c r="L159" s="1448"/>
      <c r="M159" s="1448"/>
      <c r="N159" s="1448"/>
      <c r="O159" s="1448"/>
      <c r="P159" s="1448"/>
      <c r="Q159" s="1448"/>
      <c r="R159" s="1448"/>
      <c r="S159" s="1448"/>
      <c r="T159" s="1448"/>
      <c r="U159" s="1448"/>
      <c r="V159" s="1448"/>
      <c r="W159" s="1448"/>
      <c r="X159" s="1448"/>
      <c r="Y159" s="1448"/>
      <c r="Z159" s="1448"/>
      <c r="AA159" s="1448"/>
      <c r="AB159" s="1448"/>
      <c r="AC159" s="1448"/>
      <c r="AD159" s="1448"/>
      <c r="AE159" s="1448"/>
      <c r="AF159" s="1448"/>
      <c r="AG159" s="1448"/>
      <c r="AH159" s="1448"/>
      <c r="AI159" s="1448"/>
    </row>
    <row r="160" spans="1:35" s="17" customFormat="1" ht="63">
      <c r="A160" s="42" t="s">
        <v>556</v>
      </c>
      <c r="B160" s="42" t="s">
        <v>447</v>
      </c>
      <c r="C160" s="42" t="s">
        <v>73</v>
      </c>
      <c r="D160" s="41" t="s">
        <v>122</v>
      </c>
      <c r="E160" s="323" t="s">
        <v>1948</v>
      </c>
      <c r="F160" s="329" t="s">
        <v>1949</v>
      </c>
      <c r="G160" s="1099">
        <f t="shared" si="14"/>
        <v>537908</v>
      </c>
      <c r="H160" s="1103"/>
      <c r="I160" s="1103">
        <f>500000+37908</f>
        <v>537908</v>
      </c>
      <c r="J160" s="1103">
        <f>500000+37908</f>
        <v>537908</v>
      </c>
      <c r="K160" s="1543">
        <f t="shared" si="13"/>
        <v>537908</v>
      </c>
      <c r="L160" s="1448"/>
      <c r="M160" s="1448"/>
      <c r="N160" s="1448"/>
      <c r="O160" s="1448"/>
      <c r="P160" s="1448"/>
      <c r="Q160" s="1448"/>
      <c r="R160" s="1448"/>
      <c r="S160" s="1448"/>
      <c r="T160" s="1448"/>
      <c r="U160" s="1448"/>
      <c r="V160" s="1448"/>
      <c r="W160" s="1448"/>
      <c r="X160" s="1448"/>
      <c r="Y160" s="1448"/>
      <c r="Z160" s="1448"/>
      <c r="AA160" s="1448"/>
      <c r="AB160" s="1448"/>
      <c r="AC160" s="1448"/>
      <c r="AD160" s="1448"/>
      <c r="AE160" s="1448"/>
      <c r="AF160" s="1448"/>
      <c r="AG160" s="1448"/>
      <c r="AH160" s="1448"/>
      <c r="AI160" s="1448"/>
    </row>
    <row r="161" spans="1:35" s="17" customFormat="1" ht="31.5" hidden="1">
      <c r="A161" s="42" t="s">
        <v>550</v>
      </c>
      <c r="B161" s="42" t="s">
        <v>72</v>
      </c>
      <c r="C161" s="42" t="s">
        <v>267</v>
      </c>
      <c r="D161" s="41" t="s">
        <v>559</v>
      </c>
      <c r="E161" s="325"/>
      <c r="F161" s="969"/>
      <c r="G161" s="1099">
        <f t="shared" si="14"/>
        <v>0</v>
      </c>
      <c r="H161" s="1103"/>
      <c r="I161" s="1103"/>
      <c r="J161" s="1103"/>
      <c r="K161" s="568">
        <f t="shared" si="13"/>
        <v>0</v>
      </c>
    </row>
    <row r="162" spans="1:35" s="17" customFormat="1" ht="63">
      <c r="A162" s="42" t="s">
        <v>557</v>
      </c>
      <c r="B162" s="42" t="s">
        <v>476</v>
      </c>
      <c r="C162" s="42" t="s">
        <v>126</v>
      </c>
      <c r="D162" s="41" t="s">
        <v>477</v>
      </c>
      <c r="E162" s="323" t="s">
        <v>1948</v>
      </c>
      <c r="F162" s="329" t="s">
        <v>1949</v>
      </c>
      <c r="G162" s="1099">
        <f t="shared" si="14"/>
        <v>300000</v>
      </c>
      <c r="H162" s="1103"/>
      <c r="I162" s="1103">
        <v>300000</v>
      </c>
      <c r="J162" s="1103">
        <v>300000</v>
      </c>
      <c r="K162" s="1543">
        <f t="shared" si="13"/>
        <v>300000</v>
      </c>
      <c r="L162" s="1448"/>
      <c r="M162" s="1448"/>
      <c r="N162" s="1448"/>
      <c r="O162" s="1448"/>
      <c r="P162" s="1448"/>
      <c r="Q162" s="1448"/>
      <c r="R162" s="1448"/>
      <c r="S162" s="1448"/>
      <c r="T162" s="1448"/>
      <c r="U162" s="1448"/>
      <c r="V162" s="1448"/>
      <c r="W162" s="1448"/>
      <c r="X162" s="1448"/>
      <c r="Y162" s="1448"/>
      <c r="Z162" s="1448"/>
      <c r="AA162" s="1448"/>
      <c r="AB162" s="1448"/>
      <c r="AC162" s="1448"/>
      <c r="AD162" s="1448"/>
      <c r="AE162" s="1448"/>
      <c r="AF162" s="1448"/>
      <c r="AG162" s="1448"/>
      <c r="AH162" s="1448"/>
      <c r="AI162" s="1448"/>
    </row>
    <row r="163" spans="1:35" s="17" customFormat="1" ht="31.5" hidden="1">
      <c r="A163" s="42" t="s">
        <v>558</v>
      </c>
      <c r="B163" s="42" t="s">
        <v>130</v>
      </c>
      <c r="C163" s="42" t="s">
        <v>136</v>
      </c>
      <c r="D163" s="41" t="s">
        <v>155</v>
      </c>
      <c r="E163" s="325"/>
      <c r="F163" s="969"/>
      <c r="G163" s="1099">
        <f t="shared" si="14"/>
        <v>0</v>
      </c>
      <c r="H163" s="1103"/>
      <c r="I163" s="1103"/>
      <c r="J163" s="1103"/>
      <c r="K163" s="568">
        <f t="shared" si="13"/>
        <v>0</v>
      </c>
    </row>
    <row r="164" spans="1:35" s="55" customFormat="1" ht="63" hidden="1">
      <c r="A164" s="293" t="s">
        <v>551</v>
      </c>
      <c r="B164" s="293" t="s">
        <v>164</v>
      </c>
      <c r="C164" s="293" t="s">
        <v>165</v>
      </c>
      <c r="D164" s="45" t="s">
        <v>166</v>
      </c>
      <c r="E164" s="319"/>
      <c r="F164" s="328"/>
      <c r="G164" s="1099">
        <f t="shared" si="14"/>
        <v>0</v>
      </c>
      <c r="H164" s="1100"/>
      <c r="I164" s="1100"/>
      <c r="J164" s="1100"/>
      <c r="K164" s="568">
        <f t="shared" si="13"/>
        <v>0</v>
      </c>
    </row>
    <row r="165" spans="1:35" s="17" customFormat="1" ht="62.1" hidden="1" customHeight="1">
      <c r="A165" s="293" t="s">
        <v>552</v>
      </c>
      <c r="B165" s="293" t="s">
        <v>167</v>
      </c>
      <c r="C165" s="293" t="s">
        <v>168</v>
      </c>
      <c r="D165" s="45" t="s">
        <v>98</v>
      </c>
      <c r="E165" s="319"/>
      <c r="F165" s="328"/>
      <c r="G165" s="1099">
        <f t="shared" si="14"/>
        <v>0</v>
      </c>
      <c r="H165" s="1100"/>
      <c r="I165" s="1100"/>
      <c r="J165" s="1100"/>
      <c r="K165" s="568">
        <f t="shared" si="13"/>
        <v>0</v>
      </c>
    </row>
    <row r="166" spans="1:35" s="17" customFormat="1" ht="63">
      <c r="A166" s="293" t="s">
        <v>553</v>
      </c>
      <c r="B166" s="293" t="s">
        <v>169</v>
      </c>
      <c r="C166" s="293" t="s">
        <v>165</v>
      </c>
      <c r="D166" s="45" t="s">
        <v>197</v>
      </c>
      <c r="E166" s="323" t="s">
        <v>1948</v>
      </c>
      <c r="F166" s="329" t="s">
        <v>1949</v>
      </c>
      <c r="G166" s="1099">
        <f t="shared" si="14"/>
        <v>600000</v>
      </c>
      <c r="H166" s="1100"/>
      <c r="I166" s="1100">
        <v>600000</v>
      </c>
      <c r="J166" s="1100">
        <v>600000</v>
      </c>
      <c r="K166" s="1543">
        <f t="shared" si="13"/>
        <v>600000</v>
      </c>
      <c r="L166" s="1448"/>
      <c r="M166" s="1448"/>
      <c r="N166" s="1448"/>
      <c r="O166" s="1448"/>
      <c r="P166" s="1448"/>
      <c r="Q166" s="1448"/>
      <c r="R166" s="1448"/>
      <c r="S166" s="1448"/>
      <c r="T166" s="1448"/>
      <c r="U166" s="1448"/>
      <c r="V166" s="1448"/>
      <c r="W166" s="1448"/>
      <c r="X166" s="1448"/>
      <c r="Y166" s="1448"/>
      <c r="Z166" s="1448"/>
      <c r="AA166" s="1448"/>
      <c r="AB166" s="1448"/>
      <c r="AC166" s="1448"/>
      <c r="AD166" s="1448"/>
      <c r="AE166" s="1448"/>
      <c r="AF166" s="1448"/>
      <c r="AG166" s="1448"/>
      <c r="AH166" s="1448"/>
      <c r="AI166" s="1448"/>
    </row>
    <row r="167" spans="1:35" s="17" customFormat="1" ht="63">
      <c r="A167" s="293" t="s">
        <v>1288</v>
      </c>
      <c r="B167" s="293" t="s">
        <v>170</v>
      </c>
      <c r="C167" s="296" t="s">
        <v>165</v>
      </c>
      <c r="D167" s="1018" t="s">
        <v>486</v>
      </c>
      <c r="E167" s="323" t="s">
        <v>1948</v>
      </c>
      <c r="F167" s="329" t="s">
        <v>1949</v>
      </c>
      <c r="G167" s="1099">
        <f t="shared" si="14"/>
        <v>892800</v>
      </c>
      <c r="H167" s="1100"/>
      <c r="I167" s="1100">
        <v>892800</v>
      </c>
      <c r="J167" s="1100">
        <v>892800</v>
      </c>
      <c r="K167" s="1543">
        <f t="shared" si="13"/>
        <v>892800</v>
      </c>
      <c r="L167" s="1448"/>
      <c r="M167" s="1448"/>
      <c r="N167" s="1448"/>
      <c r="O167" s="1448"/>
      <c r="P167" s="1448"/>
      <c r="Q167" s="1448"/>
      <c r="R167" s="1448"/>
      <c r="S167" s="1448"/>
      <c r="T167" s="1448"/>
      <c r="U167" s="1448"/>
      <c r="V167" s="1448"/>
      <c r="W167" s="1448"/>
      <c r="X167" s="1448"/>
      <c r="Y167" s="1448"/>
      <c r="Z167" s="1448"/>
      <c r="AA167" s="1448"/>
      <c r="AB167" s="1448"/>
      <c r="AC167" s="1448"/>
      <c r="AD167" s="1448"/>
      <c r="AE167" s="1448"/>
      <c r="AF167" s="1448"/>
      <c r="AG167" s="1448"/>
      <c r="AH167" s="1448"/>
      <c r="AI167" s="1448"/>
    </row>
    <row r="168" spans="1:35" s="17" customFormat="1" ht="47.25" hidden="1">
      <c r="A168" s="293" t="s">
        <v>554</v>
      </c>
      <c r="B168" s="293" t="s">
        <v>334</v>
      </c>
      <c r="C168" s="296" t="s">
        <v>11</v>
      </c>
      <c r="D168" s="297" t="s">
        <v>77</v>
      </c>
      <c r="E168" s="323"/>
      <c r="F168" s="329"/>
      <c r="G168" s="1099">
        <f t="shared" si="14"/>
        <v>0</v>
      </c>
      <c r="H168" s="1101"/>
      <c r="I168" s="1101"/>
      <c r="J168" s="1101"/>
      <c r="K168" s="568">
        <f t="shared" si="13"/>
        <v>0</v>
      </c>
    </row>
    <row r="169" spans="1:35" s="17" customFormat="1" ht="62.45" hidden="1" customHeight="1">
      <c r="A169" s="42" t="s">
        <v>560</v>
      </c>
      <c r="B169" s="42" t="s">
        <v>274</v>
      </c>
      <c r="C169" s="42" t="s">
        <v>159</v>
      </c>
      <c r="D169" s="41" t="s">
        <v>463</v>
      </c>
      <c r="E169" s="323"/>
      <c r="F169" s="329"/>
      <c r="G169" s="1099">
        <f t="shared" si="14"/>
        <v>0</v>
      </c>
      <c r="H169" s="1101"/>
      <c r="I169" s="1101"/>
      <c r="J169" s="1101"/>
      <c r="K169" s="568">
        <f t="shared" si="13"/>
        <v>0</v>
      </c>
    </row>
    <row r="170" spans="1:35" s="17" customFormat="1" ht="15.75" hidden="1">
      <c r="A170" s="42" t="s">
        <v>561</v>
      </c>
      <c r="B170" s="42" t="s">
        <v>517</v>
      </c>
      <c r="C170" s="42" t="s">
        <v>159</v>
      </c>
      <c r="D170" s="41" t="s">
        <v>518</v>
      </c>
      <c r="E170" s="323"/>
      <c r="F170" s="329"/>
      <c r="G170" s="1099">
        <f t="shared" si="14"/>
        <v>0</v>
      </c>
      <c r="H170" s="1101"/>
      <c r="I170" s="1101"/>
      <c r="J170" s="1101"/>
      <c r="K170" s="568">
        <f t="shared" si="13"/>
        <v>0</v>
      </c>
    </row>
    <row r="171" spans="1:35" s="17" customFormat="1" ht="47.25" hidden="1">
      <c r="A171" s="293" t="s">
        <v>836</v>
      </c>
      <c r="B171" s="293" t="s">
        <v>734</v>
      </c>
      <c r="C171" s="293" t="s">
        <v>276</v>
      </c>
      <c r="D171" s="45" t="s">
        <v>769</v>
      </c>
      <c r="E171" s="471" t="s">
        <v>800</v>
      </c>
      <c r="F171" s="975"/>
      <c r="G171" s="1099">
        <f t="shared" si="14"/>
        <v>0</v>
      </c>
      <c r="H171" s="1099"/>
      <c r="I171" s="1099"/>
      <c r="J171" s="1099"/>
      <c r="K171" s="568">
        <f t="shared" si="13"/>
        <v>0</v>
      </c>
      <c r="M171" s="83">
        <f>G171-I171-H171</f>
        <v>0</v>
      </c>
    </row>
    <row r="172" spans="1:35" ht="63">
      <c r="A172" s="42" t="s">
        <v>555</v>
      </c>
      <c r="B172" s="42" t="s">
        <v>350</v>
      </c>
      <c r="C172" s="42" t="s">
        <v>293</v>
      </c>
      <c r="D172" s="41" t="s">
        <v>47</v>
      </c>
      <c r="E172" s="323" t="s">
        <v>1039</v>
      </c>
      <c r="F172" s="329" t="s">
        <v>1040</v>
      </c>
      <c r="G172" s="1099">
        <f t="shared" si="14"/>
        <v>3317000</v>
      </c>
      <c r="H172" s="1101">
        <v>27000</v>
      </c>
      <c r="I172" s="1101">
        <v>3290000</v>
      </c>
      <c r="J172" s="1101">
        <v>3290000</v>
      </c>
      <c r="K172" s="1543">
        <f t="shared" si="13"/>
        <v>3317000</v>
      </c>
      <c r="L172" s="1543">
        <f>G172-H172-I172</f>
        <v>0</v>
      </c>
      <c r="M172" s="1543">
        <f>G172-I172-H172</f>
        <v>0</v>
      </c>
      <c r="N172" s="1448"/>
      <c r="O172" s="1448"/>
      <c r="P172" s="1448"/>
      <c r="Q172" s="1448"/>
      <c r="R172" s="1448"/>
      <c r="S172" s="1448"/>
      <c r="T172" s="1448"/>
      <c r="U172" s="1448"/>
      <c r="V172" s="1448"/>
      <c r="W172" s="1448"/>
      <c r="X172" s="1448"/>
      <c r="Y172" s="1448"/>
      <c r="Z172" s="1448"/>
      <c r="AA172" s="1448"/>
      <c r="AB172" s="1448"/>
      <c r="AC172" s="1448"/>
      <c r="AD172" s="1448"/>
      <c r="AE172" s="1448"/>
      <c r="AF172" s="1448"/>
      <c r="AG172" s="1448"/>
      <c r="AH172" s="1448"/>
      <c r="AI172" s="1448"/>
    </row>
    <row r="173" spans="1:35" s="17" customFormat="1" ht="63">
      <c r="A173" s="293" t="s">
        <v>844</v>
      </c>
      <c r="B173" s="293" t="s">
        <v>235</v>
      </c>
      <c r="C173" s="293" t="s">
        <v>293</v>
      </c>
      <c r="D173" s="45" t="s">
        <v>845</v>
      </c>
      <c r="E173" s="322" t="s">
        <v>1039</v>
      </c>
      <c r="F173" s="444" t="s">
        <v>1040</v>
      </c>
      <c r="G173" s="1099">
        <f t="shared" si="14"/>
        <v>4224672</v>
      </c>
      <c r="H173" s="1105"/>
      <c r="I173" s="1105">
        <v>4224672</v>
      </c>
      <c r="J173" s="1105">
        <v>4224672</v>
      </c>
      <c r="K173" s="1543">
        <f t="shared" si="13"/>
        <v>4224672</v>
      </c>
      <c r="L173" s="1448"/>
      <c r="M173" s="1543">
        <f>G173-I173-H173</f>
        <v>0</v>
      </c>
      <c r="N173" s="1448"/>
      <c r="O173" s="1448"/>
      <c r="P173" s="1448"/>
      <c r="Q173" s="1448"/>
      <c r="R173" s="1448"/>
      <c r="S173" s="1448"/>
      <c r="T173" s="1448"/>
      <c r="U173" s="1448"/>
      <c r="V173" s="1448"/>
      <c r="W173" s="1448"/>
      <c r="X173" s="1448"/>
      <c r="Y173" s="1448"/>
      <c r="Z173" s="1448"/>
      <c r="AA173" s="1448"/>
      <c r="AB173" s="1448"/>
      <c r="AC173" s="1448"/>
      <c r="AD173" s="1448"/>
      <c r="AE173" s="1448"/>
      <c r="AF173" s="1448"/>
      <c r="AG173" s="1448"/>
      <c r="AH173" s="1448"/>
      <c r="AI173" s="1448"/>
    </row>
    <row r="174" spans="1:35" s="1279" customFormat="1" ht="63" hidden="1">
      <c r="A174" s="1273" t="s">
        <v>844</v>
      </c>
      <c r="B174" s="1273" t="s">
        <v>235</v>
      </c>
      <c r="C174" s="1273" t="s">
        <v>293</v>
      </c>
      <c r="D174" s="1274" t="s">
        <v>845</v>
      </c>
      <c r="E174" s="1275" t="s">
        <v>1948</v>
      </c>
      <c r="F174" s="1276" t="s">
        <v>1949</v>
      </c>
      <c r="G174" s="1277"/>
      <c r="H174" s="1278"/>
      <c r="I174" s="1278"/>
      <c r="J174" s="1278"/>
      <c r="K174" s="568">
        <f t="shared" si="13"/>
        <v>0</v>
      </c>
      <c r="M174" s="1280"/>
    </row>
    <row r="175" spans="1:35" s="17" customFormat="1" ht="34.5" hidden="1">
      <c r="A175" s="42" t="s">
        <v>743</v>
      </c>
      <c r="B175" s="42" t="s">
        <v>744</v>
      </c>
      <c r="C175" s="42" t="s">
        <v>521</v>
      </c>
      <c r="D175" s="456" t="s">
        <v>745</v>
      </c>
      <c r="E175" s="316"/>
      <c r="F175" s="327"/>
      <c r="G175" s="1099">
        <f t="shared" si="14"/>
        <v>0</v>
      </c>
      <c r="H175" s="1099"/>
      <c r="I175" s="1099"/>
      <c r="J175" s="1099"/>
      <c r="K175" s="568">
        <f t="shared" si="13"/>
        <v>0</v>
      </c>
    </row>
    <row r="176" spans="1:35" s="17" customFormat="1" ht="37.5" hidden="1">
      <c r="A176" s="293" t="s">
        <v>562</v>
      </c>
      <c r="B176" s="293" t="s">
        <v>563</v>
      </c>
      <c r="C176" s="293" t="s">
        <v>521</v>
      </c>
      <c r="D176" s="45" t="s">
        <v>564</v>
      </c>
      <c r="E176" s="322"/>
      <c r="F176" s="444"/>
      <c r="G176" s="1099">
        <f t="shared" si="14"/>
        <v>0</v>
      </c>
      <c r="H176" s="1105"/>
      <c r="I176" s="1105"/>
      <c r="J176" s="1105"/>
      <c r="K176" s="568">
        <f t="shared" si="13"/>
        <v>0</v>
      </c>
    </row>
    <row r="177" spans="1:35" s="17" customFormat="1" ht="34.5" hidden="1">
      <c r="A177" s="293" t="s">
        <v>565</v>
      </c>
      <c r="B177" s="293" t="s">
        <v>566</v>
      </c>
      <c r="C177" s="293" t="s">
        <v>521</v>
      </c>
      <c r="D177" s="45" t="s">
        <v>567</v>
      </c>
      <c r="E177" s="322"/>
      <c r="F177" s="444"/>
      <c r="G177" s="1099">
        <f t="shared" si="14"/>
        <v>0</v>
      </c>
      <c r="H177" s="1105"/>
      <c r="I177" s="1105"/>
      <c r="J177" s="1105"/>
      <c r="K177" s="568">
        <f t="shared" si="13"/>
        <v>0</v>
      </c>
    </row>
    <row r="178" spans="1:35" ht="63">
      <c r="A178" s="42" t="s">
        <v>746</v>
      </c>
      <c r="B178" s="42" t="s">
        <v>747</v>
      </c>
      <c r="C178" s="42" t="s">
        <v>521</v>
      </c>
      <c r="D178" s="41" t="s">
        <v>790</v>
      </c>
      <c r="E178" s="323" t="s">
        <v>1039</v>
      </c>
      <c r="F178" s="329" t="s">
        <v>1040</v>
      </c>
      <c r="G178" s="1099">
        <f t="shared" si="14"/>
        <v>2442700</v>
      </c>
      <c r="H178" s="1101"/>
      <c r="I178" s="1101">
        <v>2442700</v>
      </c>
      <c r="J178" s="1101">
        <v>2442700</v>
      </c>
      <c r="K178" s="1543">
        <f t="shared" si="13"/>
        <v>2442700</v>
      </c>
      <c r="L178" s="1543">
        <f>G178-H178-I178</f>
        <v>0</v>
      </c>
      <c r="M178" s="1543">
        <f>G178-I178-H178</f>
        <v>0</v>
      </c>
      <c r="N178" s="1448"/>
      <c r="O178" s="1448"/>
      <c r="P178" s="1448"/>
      <c r="Q178" s="1448"/>
      <c r="R178" s="1448"/>
      <c r="S178" s="1448"/>
      <c r="T178" s="1448"/>
      <c r="U178" s="1448"/>
      <c r="V178" s="1448"/>
      <c r="W178" s="1448"/>
      <c r="X178" s="1448"/>
      <c r="Y178" s="1448"/>
      <c r="Z178" s="1448"/>
      <c r="AA178" s="1448"/>
      <c r="AB178" s="1448"/>
      <c r="AC178" s="1448"/>
      <c r="AD178" s="1448"/>
      <c r="AE178" s="1448"/>
      <c r="AF178" s="1448"/>
      <c r="AG178" s="1448"/>
      <c r="AH178" s="1448"/>
      <c r="AI178" s="1448"/>
    </row>
    <row r="179" spans="1:35" s="17" customFormat="1" ht="78.75" hidden="1">
      <c r="A179" s="1674" t="s">
        <v>839</v>
      </c>
      <c r="B179" s="1674" t="s">
        <v>840</v>
      </c>
      <c r="C179" s="1674" t="s">
        <v>521</v>
      </c>
      <c r="D179" s="1697" t="s">
        <v>866</v>
      </c>
      <c r="E179" s="322" t="s">
        <v>886</v>
      </c>
      <c r="F179" s="444"/>
      <c r="G179" s="1099">
        <f t="shared" si="14"/>
        <v>0</v>
      </c>
      <c r="H179" s="1105"/>
      <c r="I179" s="1105"/>
      <c r="J179" s="1105"/>
      <c r="K179" s="568">
        <f t="shared" si="13"/>
        <v>0</v>
      </c>
      <c r="M179" s="83">
        <f>G179-I179-H179</f>
        <v>0</v>
      </c>
    </row>
    <row r="180" spans="1:35" s="17" customFormat="1" ht="47.25" hidden="1">
      <c r="A180" s="1675"/>
      <c r="B180" s="1675"/>
      <c r="C180" s="1675"/>
      <c r="D180" s="1698"/>
      <c r="E180" s="472" t="s">
        <v>817</v>
      </c>
      <c r="F180" s="977"/>
      <c r="G180" s="1099">
        <f t="shared" si="14"/>
        <v>0</v>
      </c>
      <c r="H180" s="1105"/>
      <c r="I180" s="1105"/>
      <c r="J180" s="1105"/>
      <c r="K180" s="568">
        <f t="shared" si="13"/>
        <v>0</v>
      </c>
      <c r="M180" s="83"/>
    </row>
    <row r="181" spans="1:35" s="17" customFormat="1" ht="47.25">
      <c r="A181" s="42" t="s">
        <v>568</v>
      </c>
      <c r="B181" s="42" t="s">
        <v>373</v>
      </c>
      <c r="C181" s="42" t="s">
        <v>521</v>
      </c>
      <c r="D181" s="41" t="s">
        <v>524</v>
      </c>
      <c r="E181" s="307" t="s">
        <v>1899</v>
      </c>
      <c r="F181" s="971"/>
      <c r="G181" s="1099">
        <f t="shared" si="14"/>
        <v>265083</v>
      </c>
      <c r="H181" s="486"/>
      <c r="I181" s="1099">
        <v>265083</v>
      </c>
      <c r="J181" s="1099">
        <v>265083</v>
      </c>
      <c r="K181" s="1543">
        <f t="shared" si="13"/>
        <v>265083</v>
      </c>
      <c r="L181" s="1448"/>
      <c r="M181" s="1543">
        <f t="shared" ref="M181:M186" si="15">G181-I181-H181</f>
        <v>0</v>
      </c>
      <c r="N181" s="1448"/>
      <c r="O181" s="1448"/>
      <c r="P181" s="1448"/>
      <c r="Q181" s="1448"/>
      <c r="R181" s="1448"/>
      <c r="S181" s="1448"/>
      <c r="T181" s="1448"/>
      <c r="U181" s="1448"/>
      <c r="V181" s="1448"/>
      <c r="W181" s="1448"/>
      <c r="X181" s="1448"/>
      <c r="Y181" s="1448"/>
      <c r="Z181" s="1448"/>
      <c r="AA181" s="1448"/>
      <c r="AB181" s="1448"/>
      <c r="AC181" s="1448"/>
      <c r="AD181" s="1448"/>
      <c r="AE181" s="1448"/>
      <c r="AF181" s="1448"/>
      <c r="AG181" s="1448"/>
      <c r="AH181" s="1448"/>
      <c r="AI181" s="1448"/>
    </row>
    <row r="182" spans="1:35" ht="63">
      <c r="A182" s="42" t="s">
        <v>813</v>
      </c>
      <c r="B182" s="42" t="s">
        <v>814</v>
      </c>
      <c r="C182" s="42" t="s">
        <v>278</v>
      </c>
      <c r="D182" s="1146" t="s">
        <v>815</v>
      </c>
      <c r="E182" s="323" t="s">
        <v>1039</v>
      </c>
      <c r="F182" s="329" t="s">
        <v>1040</v>
      </c>
      <c r="G182" s="1099">
        <f t="shared" si="14"/>
        <v>19840400</v>
      </c>
      <c r="H182" s="1147"/>
      <c r="I182" s="1147">
        <v>19840400</v>
      </c>
      <c r="J182" s="1147">
        <v>19840400</v>
      </c>
      <c r="K182" s="1543">
        <f t="shared" si="13"/>
        <v>19840400</v>
      </c>
      <c r="L182" s="1543">
        <f>G182-H182-I182</f>
        <v>0</v>
      </c>
      <c r="M182" s="1543">
        <f t="shared" si="15"/>
        <v>0</v>
      </c>
      <c r="N182" s="1448"/>
      <c r="O182" s="1448"/>
      <c r="P182" s="1448"/>
      <c r="Q182" s="1448"/>
      <c r="R182" s="1448"/>
      <c r="S182" s="1448"/>
      <c r="T182" s="1448"/>
      <c r="U182" s="1448"/>
      <c r="V182" s="1448"/>
      <c r="W182" s="1448"/>
      <c r="X182" s="1448"/>
      <c r="Y182" s="1448"/>
      <c r="Z182" s="1448"/>
      <c r="AA182" s="1448"/>
      <c r="AB182" s="1448"/>
      <c r="AC182" s="1448"/>
      <c r="AD182" s="1448"/>
      <c r="AE182" s="1448"/>
      <c r="AF182" s="1448"/>
      <c r="AG182" s="1448"/>
      <c r="AH182" s="1448"/>
      <c r="AI182" s="1448"/>
    </row>
    <row r="183" spans="1:35" ht="63">
      <c r="A183" s="42" t="s">
        <v>813</v>
      </c>
      <c r="B183" s="42" t="s">
        <v>814</v>
      </c>
      <c r="C183" s="42" t="s">
        <v>278</v>
      </c>
      <c r="D183" s="1146" t="s">
        <v>815</v>
      </c>
      <c r="E183" s="472" t="s">
        <v>1045</v>
      </c>
      <c r="F183" s="960" t="s">
        <v>1172</v>
      </c>
      <c r="G183" s="1099">
        <f t="shared" si="14"/>
        <v>4200000</v>
      </c>
      <c r="H183" s="1147"/>
      <c r="I183" s="1147">
        <v>4200000</v>
      </c>
      <c r="J183" s="1147">
        <v>4200000</v>
      </c>
      <c r="K183" s="1543">
        <f t="shared" si="13"/>
        <v>4200000</v>
      </c>
      <c r="L183" s="1543">
        <f>G183-H183-I183</f>
        <v>0</v>
      </c>
      <c r="M183" s="1543">
        <f t="shared" si="15"/>
        <v>0</v>
      </c>
      <c r="N183" s="1448"/>
      <c r="O183" s="1448"/>
      <c r="P183" s="1448"/>
      <c r="Q183" s="1448"/>
      <c r="R183" s="1448"/>
      <c r="S183" s="1448"/>
      <c r="T183" s="1448"/>
      <c r="U183" s="1448"/>
      <c r="V183" s="1448"/>
      <c r="W183" s="1448"/>
      <c r="X183" s="1448"/>
      <c r="Y183" s="1448"/>
      <c r="Z183" s="1448"/>
      <c r="AA183" s="1448"/>
      <c r="AB183" s="1448"/>
      <c r="AC183" s="1448"/>
      <c r="AD183" s="1448"/>
      <c r="AE183" s="1448"/>
      <c r="AF183" s="1448"/>
      <c r="AG183" s="1448"/>
      <c r="AH183" s="1448"/>
      <c r="AI183" s="1448"/>
    </row>
    <row r="184" spans="1:35" ht="63">
      <c r="A184" s="42" t="s">
        <v>813</v>
      </c>
      <c r="B184" s="42" t="s">
        <v>814</v>
      </c>
      <c r="C184" s="42" t="s">
        <v>278</v>
      </c>
      <c r="D184" s="1146" t="s">
        <v>815</v>
      </c>
      <c r="E184" s="323" t="s">
        <v>1044</v>
      </c>
      <c r="F184" s="960" t="s">
        <v>1178</v>
      </c>
      <c r="G184" s="1099">
        <f t="shared" si="14"/>
        <v>20000000</v>
      </c>
      <c r="H184" s="1147"/>
      <c r="I184" s="1147">
        <v>20000000</v>
      </c>
      <c r="J184" s="1147">
        <v>20000000</v>
      </c>
      <c r="K184" s="1543">
        <f t="shared" si="13"/>
        <v>20000000</v>
      </c>
      <c r="L184" s="1543">
        <f>G184-H184-I184</f>
        <v>0</v>
      </c>
      <c r="M184" s="1543">
        <f t="shared" si="15"/>
        <v>0</v>
      </c>
      <c r="N184" s="1448"/>
      <c r="O184" s="1448"/>
      <c r="P184" s="1448"/>
      <c r="Q184" s="1448"/>
      <c r="R184" s="1448"/>
      <c r="S184" s="1448"/>
      <c r="T184" s="1448"/>
      <c r="U184" s="1448"/>
      <c r="V184" s="1448"/>
      <c r="W184" s="1448"/>
      <c r="X184" s="1448"/>
      <c r="Y184" s="1448"/>
      <c r="Z184" s="1448"/>
      <c r="AA184" s="1448"/>
      <c r="AB184" s="1448"/>
      <c r="AC184" s="1448"/>
      <c r="AD184" s="1448"/>
      <c r="AE184" s="1448"/>
      <c r="AF184" s="1448"/>
      <c r="AG184" s="1448"/>
      <c r="AH184" s="1448"/>
      <c r="AI184" s="1448"/>
    </row>
    <row r="185" spans="1:35" ht="45">
      <c r="A185" s="42" t="s">
        <v>748</v>
      </c>
      <c r="B185" s="42" t="s">
        <v>749</v>
      </c>
      <c r="C185" s="42" t="s">
        <v>278</v>
      </c>
      <c r="D185" s="456" t="s">
        <v>750</v>
      </c>
      <c r="E185" s="472" t="s">
        <v>1045</v>
      </c>
      <c r="F185" s="960" t="s">
        <v>1172</v>
      </c>
      <c r="G185" s="1099">
        <f t="shared" si="14"/>
        <v>700000</v>
      </c>
      <c r="H185" s="1099">
        <v>425000</v>
      </c>
      <c r="I185" s="487">
        <v>275000</v>
      </c>
      <c r="J185" s="487">
        <v>275000</v>
      </c>
      <c r="K185" s="1543">
        <f t="shared" si="13"/>
        <v>700000</v>
      </c>
      <c r="L185" s="1543">
        <f>G185-H185-I185</f>
        <v>0</v>
      </c>
      <c r="M185" s="1543">
        <f t="shared" si="15"/>
        <v>0</v>
      </c>
      <c r="N185" s="1448"/>
      <c r="O185" s="1448"/>
      <c r="P185" s="1448"/>
      <c r="Q185" s="1448"/>
      <c r="R185" s="1448"/>
      <c r="S185" s="1448"/>
      <c r="T185" s="1448"/>
      <c r="U185" s="1448"/>
      <c r="V185" s="1448"/>
      <c r="W185" s="1448"/>
      <c r="X185" s="1448"/>
      <c r="Y185" s="1448"/>
      <c r="Z185" s="1448"/>
      <c r="AA185" s="1448"/>
      <c r="AB185" s="1448"/>
      <c r="AC185" s="1448"/>
      <c r="AD185" s="1448"/>
      <c r="AE185" s="1448"/>
      <c r="AF185" s="1448"/>
      <c r="AG185" s="1448"/>
      <c r="AH185" s="1448"/>
      <c r="AI185" s="1448"/>
    </row>
    <row r="186" spans="1:35" ht="60">
      <c r="A186" s="42" t="s">
        <v>751</v>
      </c>
      <c r="B186" s="42" t="s">
        <v>752</v>
      </c>
      <c r="C186" s="42" t="s">
        <v>741</v>
      </c>
      <c r="D186" s="33" t="s">
        <v>753</v>
      </c>
      <c r="E186" s="473" t="s">
        <v>1054</v>
      </c>
      <c r="F186" s="978" t="s">
        <v>1053</v>
      </c>
      <c r="G186" s="1099">
        <f t="shared" si="14"/>
        <v>5000000</v>
      </c>
      <c r="H186" s="1099">
        <v>5000000</v>
      </c>
      <c r="I186" s="487"/>
      <c r="J186" s="487"/>
      <c r="K186" s="1543">
        <f t="shared" si="13"/>
        <v>5000000</v>
      </c>
      <c r="L186" s="1543">
        <f>G186-H186-I186</f>
        <v>0</v>
      </c>
      <c r="M186" s="1543">
        <f t="shared" si="15"/>
        <v>0</v>
      </c>
      <c r="N186" s="1448"/>
      <c r="O186" s="1448"/>
      <c r="P186" s="1448"/>
      <c r="Q186" s="1448"/>
      <c r="R186" s="1448"/>
      <c r="S186" s="1448"/>
      <c r="T186" s="1448"/>
      <c r="U186" s="1448"/>
      <c r="V186" s="1448"/>
      <c r="W186" s="1448"/>
      <c r="X186" s="1448"/>
      <c r="Y186" s="1448"/>
      <c r="Z186" s="1448"/>
      <c r="AA186" s="1448"/>
      <c r="AB186" s="1448"/>
      <c r="AC186" s="1448"/>
      <c r="AD186" s="1448"/>
      <c r="AE186" s="1448"/>
      <c r="AF186" s="1448"/>
      <c r="AG186" s="1448"/>
      <c r="AH186" s="1448"/>
      <c r="AI186" s="1448"/>
    </row>
    <row r="187" spans="1:35" s="17" customFormat="1" ht="15.75" hidden="1">
      <c r="A187" s="42" t="s">
        <v>570</v>
      </c>
      <c r="B187" s="42" t="s">
        <v>571</v>
      </c>
      <c r="C187" s="42" t="s">
        <v>370</v>
      </c>
      <c r="D187" s="41" t="s">
        <v>308</v>
      </c>
      <c r="E187" s="316"/>
      <c r="F187" s="327"/>
      <c r="G187" s="1099">
        <f t="shared" si="14"/>
        <v>0</v>
      </c>
      <c r="H187" s="1099"/>
      <c r="I187" s="1099"/>
      <c r="J187" s="1099"/>
      <c r="K187" s="568">
        <f t="shared" si="13"/>
        <v>0</v>
      </c>
    </row>
    <row r="188" spans="1:35" s="17" customFormat="1" ht="62.45" customHeight="1">
      <c r="A188" s="293" t="s">
        <v>569</v>
      </c>
      <c r="B188" s="293" t="s">
        <v>393</v>
      </c>
      <c r="C188" s="293" t="s">
        <v>6</v>
      </c>
      <c r="D188" s="45" t="s">
        <v>90</v>
      </c>
      <c r="E188" s="307" t="s">
        <v>1055</v>
      </c>
      <c r="F188" s="41" t="s">
        <v>1056</v>
      </c>
      <c r="G188" s="1099">
        <f t="shared" si="14"/>
        <v>1500000</v>
      </c>
      <c r="H188" s="1100"/>
      <c r="I188" s="1100">
        <v>1500000</v>
      </c>
      <c r="J188" s="1100"/>
      <c r="K188" s="1543">
        <f t="shared" si="13"/>
        <v>1500000</v>
      </c>
      <c r="L188" s="1448"/>
      <c r="M188" s="1543">
        <f>G188-I188-H188</f>
        <v>0</v>
      </c>
      <c r="N188" s="1448"/>
      <c r="O188" s="1448"/>
      <c r="P188" s="1448"/>
      <c r="Q188" s="1448"/>
      <c r="R188" s="1448"/>
      <c r="S188" s="1448"/>
      <c r="T188" s="1448"/>
      <c r="U188" s="1448"/>
      <c r="V188" s="1448"/>
      <c r="W188" s="1448"/>
      <c r="X188" s="1448"/>
      <c r="Y188" s="1448"/>
      <c r="Z188" s="1448"/>
      <c r="AA188" s="1448"/>
      <c r="AB188" s="1448"/>
      <c r="AC188" s="1448"/>
      <c r="AD188" s="1448"/>
      <c r="AE188" s="1448"/>
      <c r="AF188" s="1448"/>
      <c r="AG188" s="1448"/>
      <c r="AH188" s="1448"/>
      <c r="AI188" s="1448"/>
    </row>
    <row r="189" spans="1:35" ht="72" customHeight="1">
      <c r="A189" s="42" t="s">
        <v>572</v>
      </c>
      <c r="B189" s="42" t="s">
        <v>573</v>
      </c>
      <c r="C189" s="42" t="s">
        <v>26</v>
      </c>
      <c r="D189" s="41" t="s">
        <v>91</v>
      </c>
      <c r="E189" s="307" t="s">
        <v>1055</v>
      </c>
      <c r="F189" s="41" t="s">
        <v>1056</v>
      </c>
      <c r="G189" s="1099">
        <f t="shared" si="14"/>
        <v>4925800</v>
      </c>
      <c r="H189" s="487"/>
      <c r="I189" s="1099">
        <v>4925800</v>
      </c>
      <c r="J189" s="1099"/>
      <c r="K189" s="1543">
        <f t="shared" si="13"/>
        <v>4925800</v>
      </c>
      <c r="L189" s="1543">
        <f>G189-H189-I189</f>
        <v>0</v>
      </c>
      <c r="M189" s="1543">
        <f>G189-I189-H189</f>
        <v>0</v>
      </c>
      <c r="N189" s="1448"/>
      <c r="O189" s="1448"/>
      <c r="P189" s="1448"/>
      <c r="Q189" s="1448"/>
      <c r="R189" s="1448"/>
      <c r="S189" s="1448"/>
      <c r="T189" s="1448"/>
      <c r="U189" s="1448"/>
      <c r="V189" s="1448"/>
      <c r="W189" s="1448"/>
      <c r="X189" s="1448"/>
      <c r="Y189" s="1448"/>
      <c r="Z189" s="1448"/>
      <c r="AA189" s="1448"/>
      <c r="AB189" s="1448"/>
      <c r="AC189" s="1448"/>
      <c r="AD189" s="1448"/>
      <c r="AE189" s="1448"/>
      <c r="AF189" s="1448"/>
      <c r="AG189" s="1448"/>
      <c r="AH189" s="1448"/>
      <c r="AI189" s="1448"/>
    </row>
    <row r="190" spans="1:35" s="17" customFormat="1" ht="62.45" customHeight="1">
      <c r="A190" s="292">
        <v>1618313</v>
      </c>
      <c r="B190" s="292">
        <v>8313</v>
      </c>
      <c r="C190" s="293" t="s">
        <v>375</v>
      </c>
      <c r="D190" s="45" t="s">
        <v>191</v>
      </c>
      <c r="E190" s="307" t="s">
        <v>1055</v>
      </c>
      <c r="F190" s="41" t="s">
        <v>1056</v>
      </c>
      <c r="G190" s="1099">
        <f t="shared" si="14"/>
        <v>3022100</v>
      </c>
      <c r="H190" s="1105"/>
      <c r="I190" s="1105">
        <v>3022100</v>
      </c>
      <c r="J190" s="1105"/>
      <c r="K190" s="1543">
        <f t="shared" si="13"/>
        <v>3022100</v>
      </c>
      <c r="L190" s="1448"/>
      <c r="M190" s="1543">
        <f>G190-I190-H190</f>
        <v>0</v>
      </c>
      <c r="N190" s="1448"/>
      <c r="O190" s="1448"/>
      <c r="P190" s="1448"/>
      <c r="Q190" s="1448"/>
      <c r="R190" s="1448"/>
      <c r="S190" s="1448"/>
      <c r="T190" s="1448"/>
      <c r="U190" s="1448"/>
      <c r="V190" s="1448"/>
      <c r="W190" s="1448"/>
      <c r="X190" s="1448"/>
      <c r="Y190" s="1448"/>
      <c r="Z190" s="1448"/>
      <c r="AA190" s="1448"/>
      <c r="AB190" s="1448"/>
      <c r="AC190" s="1448"/>
      <c r="AD190" s="1448"/>
      <c r="AE190" s="1448"/>
      <c r="AF190" s="1448"/>
      <c r="AG190" s="1448"/>
      <c r="AH190" s="1448"/>
      <c r="AI190" s="1448"/>
    </row>
    <row r="191" spans="1:35" s="17" customFormat="1" ht="78" hidden="1" customHeight="1">
      <c r="A191" s="39">
        <v>1618330</v>
      </c>
      <c r="B191" s="39">
        <v>8330</v>
      </c>
      <c r="C191" s="42" t="s">
        <v>376</v>
      </c>
      <c r="D191" s="41" t="s">
        <v>574</v>
      </c>
      <c r="E191" s="48"/>
      <c r="F191" s="96"/>
      <c r="G191" s="1099">
        <f t="shared" si="14"/>
        <v>0</v>
      </c>
      <c r="H191" s="1101"/>
      <c r="I191" s="1101"/>
      <c r="J191" s="1101"/>
      <c r="K191" s="568">
        <f t="shared" si="13"/>
        <v>0</v>
      </c>
    </row>
    <row r="192" spans="1:35" ht="47.25">
      <c r="A192" s="287" t="s">
        <v>808</v>
      </c>
      <c r="B192" s="287"/>
      <c r="C192" s="287"/>
      <c r="D192" s="286" t="s">
        <v>812</v>
      </c>
      <c r="E192" s="309"/>
      <c r="F192" s="962"/>
      <c r="G192" s="1098">
        <f>G193</f>
        <v>917160400</v>
      </c>
      <c r="H192" s="1098">
        <f>H193</f>
        <v>350000</v>
      </c>
      <c r="I192" s="1098">
        <f>I193</f>
        <v>916810400</v>
      </c>
      <c r="J192" s="1098">
        <f>J193</f>
        <v>20000</v>
      </c>
      <c r="K192" s="1543">
        <f t="shared" si="13"/>
        <v>917160400</v>
      </c>
      <c r="L192" s="1543">
        <f>G192-H192-I192</f>
        <v>0</v>
      </c>
      <c r="M192" s="1543">
        <f>G192-I192-H192</f>
        <v>0</v>
      </c>
      <c r="N192" s="1448"/>
      <c r="O192" s="1448"/>
      <c r="P192" s="1448"/>
      <c r="Q192" s="1448"/>
      <c r="R192" s="1448"/>
      <c r="S192" s="1448"/>
      <c r="T192" s="1448"/>
      <c r="U192" s="1448"/>
      <c r="V192" s="1448"/>
      <c r="W192" s="1448"/>
      <c r="X192" s="1448"/>
      <c r="Y192" s="1448"/>
      <c r="Z192" s="1448"/>
      <c r="AA192" s="1448"/>
      <c r="AB192" s="1448"/>
      <c r="AC192" s="1448"/>
      <c r="AD192" s="1448"/>
      <c r="AE192" s="1448"/>
      <c r="AF192" s="1448"/>
      <c r="AG192" s="1448"/>
      <c r="AH192" s="1448"/>
      <c r="AI192" s="1448"/>
    </row>
    <row r="193" spans="1:35" ht="47.25">
      <c r="A193" s="287" t="s">
        <v>809</v>
      </c>
      <c r="B193" s="287"/>
      <c r="C193" s="287"/>
      <c r="D193" s="286" t="s">
        <v>812</v>
      </c>
      <c r="E193" s="309"/>
      <c r="F193" s="962"/>
      <c r="G193" s="1098">
        <f>SUM(G194:G199)</f>
        <v>917160400</v>
      </c>
      <c r="H193" s="1098">
        <f>SUM(H194:H199)</f>
        <v>350000</v>
      </c>
      <c r="I193" s="1098">
        <f>SUM(I194:I199)</f>
        <v>916810400</v>
      </c>
      <c r="J193" s="1098">
        <f>SUM(J194:J199)</f>
        <v>20000</v>
      </c>
      <c r="K193" s="1543">
        <f t="shared" si="13"/>
        <v>917160400</v>
      </c>
      <c r="L193" s="1543">
        <f>G193-H193-I193</f>
        <v>0</v>
      </c>
      <c r="M193" s="1543">
        <f>G193-I193-H193</f>
        <v>0</v>
      </c>
      <c r="N193" s="1448"/>
      <c r="O193" s="1448"/>
      <c r="P193" s="1448"/>
      <c r="Q193" s="1448"/>
      <c r="R193" s="1448"/>
      <c r="S193" s="1448"/>
      <c r="T193" s="1448"/>
      <c r="U193" s="1448"/>
      <c r="V193" s="1448"/>
      <c r="W193" s="1448"/>
      <c r="X193" s="1448"/>
      <c r="Y193" s="1448"/>
      <c r="Z193" s="1448"/>
      <c r="AA193" s="1448"/>
      <c r="AB193" s="1448"/>
      <c r="AC193" s="1448"/>
      <c r="AD193" s="1448"/>
      <c r="AE193" s="1448"/>
      <c r="AF193" s="1448"/>
      <c r="AG193" s="1448"/>
      <c r="AH193" s="1448"/>
      <c r="AI193" s="1448"/>
    </row>
    <row r="194" spans="1:35" s="17" customFormat="1" ht="31.5" hidden="1">
      <c r="A194" s="42" t="s">
        <v>810</v>
      </c>
      <c r="B194" s="42" t="s">
        <v>599</v>
      </c>
      <c r="C194" s="42" t="s">
        <v>371</v>
      </c>
      <c r="D194" s="41" t="s">
        <v>600</v>
      </c>
      <c r="E194" s="48"/>
      <c r="F194" s="96"/>
      <c r="G194" s="1099">
        <f t="shared" ref="G194:G199" si="16">H194+I194</f>
        <v>0</v>
      </c>
      <c r="H194" s="1101"/>
      <c r="I194" s="1101"/>
      <c r="J194" s="1101"/>
      <c r="K194" s="568">
        <f t="shared" si="13"/>
        <v>0</v>
      </c>
    </row>
    <row r="195" spans="1:35" ht="75">
      <c r="A195" s="39">
        <v>1917461</v>
      </c>
      <c r="B195" s="39">
        <v>7461</v>
      </c>
      <c r="C195" s="42" t="s">
        <v>371</v>
      </c>
      <c r="D195" s="41" t="s">
        <v>759</v>
      </c>
      <c r="E195" s="475" t="s">
        <v>1057</v>
      </c>
      <c r="F195" s="41" t="s">
        <v>1179</v>
      </c>
      <c r="G195" s="1099">
        <f t="shared" si="16"/>
        <v>370000</v>
      </c>
      <c r="H195" s="1101">
        <v>350000</v>
      </c>
      <c r="I195" s="1101">
        <v>20000</v>
      </c>
      <c r="J195" s="1101">
        <v>20000</v>
      </c>
      <c r="K195" s="1543">
        <f t="shared" si="13"/>
        <v>370000</v>
      </c>
      <c r="L195" s="1543">
        <f>G195-H195-I195</f>
        <v>0</v>
      </c>
      <c r="M195" s="1543">
        <f>G195-I195-H195</f>
        <v>0</v>
      </c>
      <c r="N195" s="1448"/>
      <c r="O195" s="1448"/>
      <c r="P195" s="1448"/>
      <c r="Q195" s="1448"/>
      <c r="R195" s="1448"/>
      <c r="S195" s="1448"/>
      <c r="T195" s="1448"/>
      <c r="U195" s="1448"/>
      <c r="V195" s="1448"/>
      <c r="W195" s="1448"/>
      <c r="X195" s="1448"/>
      <c r="Y195" s="1448"/>
      <c r="Z195" s="1448"/>
      <c r="AA195" s="1448"/>
      <c r="AB195" s="1448"/>
      <c r="AC195" s="1448"/>
      <c r="AD195" s="1448"/>
      <c r="AE195" s="1448"/>
      <c r="AF195" s="1448"/>
      <c r="AG195" s="1448"/>
      <c r="AH195" s="1448"/>
      <c r="AI195" s="1448"/>
    </row>
    <row r="196" spans="1:35" ht="75">
      <c r="A196" s="39">
        <v>1917462</v>
      </c>
      <c r="B196" s="39">
        <v>7462</v>
      </c>
      <c r="C196" s="42" t="s">
        <v>371</v>
      </c>
      <c r="D196" s="41" t="s">
        <v>768</v>
      </c>
      <c r="E196" s="475" t="s">
        <v>1057</v>
      </c>
      <c r="F196" s="41" t="s">
        <v>1179</v>
      </c>
      <c r="G196" s="1099">
        <f t="shared" si="16"/>
        <v>843315700</v>
      </c>
      <c r="H196" s="487"/>
      <c r="I196" s="1101">
        <f>768172900+75142800</f>
        <v>843315700</v>
      </c>
      <c r="J196" s="1101"/>
      <c r="K196" s="1543">
        <f t="shared" si="13"/>
        <v>843315700</v>
      </c>
      <c r="L196" s="1543">
        <f>G196-H196-I196</f>
        <v>0</v>
      </c>
      <c r="M196" s="1543">
        <f>G196-I196-H196</f>
        <v>0</v>
      </c>
      <c r="N196" s="1448"/>
      <c r="O196" s="1448"/>
      <c r="P196" s="1448"/>
      <c r="Q196" s="1448"/>
      <c r="R196" s="1448"/>
      <c r="S196" s="1448"/>
      <c r="T196" s="1448"/>
      <c r="U196" s="1448"/>
      <c r="V196" s="1448"/>
      <c r="W196" s="1448"/>
      <c r="X196" s="1448"/>
      <c r="Y196" s="1448"/>
      <c r="Z196" s="1448"/>
      <c r="AA196" s="1448"/>
      <c r="AB196" s="1448"/>
      <c r="AC196" s="1448"/>
      <c r="AD196" s="1448"/>
      <c r="AE196" s="1448"/>
      <c r="AF196" s="1448"/>
      <c r="AG196" s="1448"/>
      <c r="AH196" s="1448"/>
      <c r="AI196" s="1448"/>
    </row>
    <row r="197" spans="1:35" ht="63">
      <c r="A197" s="39">
        <v>1917462</v>
      </c>
      <c r="B197" s="39">
        <v>7462</v>
      </c>
      <c r="C197" s="42" t="s">
        <v>371</v>
      </c>
      <c r="D197" s="41" t="s">
        <v>768</v>
      </c>
      <c r="E197" s="475" t="s">
        <v>1058</v>
      </c>
      <c r="F197" s="41" t="s">
        <v>1180</v>
      </c>
      <c r="G197" s="1099">
        <f t="shared" si="16"/>
        <v>2100000</v>
      </c>
      <c r="H197" s="487"/>
      <c r="I197" s="1101">
        <v>2100000</v>
      </c>
      <c r="J197" s="1101"/>
      <c r="K197" s="1543">
        <f t="shared" si="13"/>
        <v>2100000</v>
      </c>
      <c r="L197" s="1543">
        <f>G197-H197-I197</f>
        <v>0</v>
      </c>
      <c r="M197" s="1543">
        <f>G197-I197-H197</f>
        <v>0</v>
      </c>
      <c r="N197" s="1448"/>
      <c r="O197" s="1448"/>
      <c r="P197" s="1448"/>
      <c r="Q197" s="1448"/>
      <c r="R197" s="1448"/>
      <c r="S197" s="1448"/>
      <c r="T197" s="1448"/>
      <c r="U197" s="1448"/>
      <c r="V197" s="1448"/>
      <c r="W197" s="1448"/>
      <c r="X197" s="1448"/>
      <c r="Y197" s="1448"/>
      <c r="Z197" s="1448"/>
      <c r="AA197" s="1448"/>
      <c r="AB197" s="1448"/>
      <c r="AC197" s="1448"/>
      <c r="AD197" s="1448"/>
      <c r="AE197" s="1448"/>
      <c r="AF197" s="1448"/>
      <c r="AG197" s="1448"/>
      <c r="AH197" s="1448"/>
      <c r="AI197" s="1448"/>
    </row>
    <row r="198" spans="1:35" s="17" customFormat="1" ht="145.5" customHeight="1">
      <c r="A198" s="292">
        <v>1917464</v>
      </c>
      <c r="B198" s="292">
        <v>7464</v>
      </c>
      <c r="C198" s="293" t="s">
        <v>371</v>
      </c>
      <c r="D198" s="45" t="s">
        <v>925</v>
      </c>
      <c r="E198" s="475" t="s">
        <v>1057</v>
      </c>
      <c r="F198" s="41" t="s">
        <v>1179</v>
      </c>
      <c r="G198" s="1099">
        <f t="shared" si="16"/>
        <v>66272500</v>
      </c>
      <c r="H198" s="487"/>
      <c r="I198" s="1105">
        <v>66272500</v>
      </c>
      <c r="J198" s="1105"/>
      <c r="K198" s="1543">
        <f t="shared" si="13"/>
        <v>66272500</v>
      </c>
      <c r="L198" s="1448"/>
      <c r="M198" s="1543">
        <f>G198-I198-H198</f>
        <v>0</v>
      </c>
      <c r="N198" s="1448"/>
      <c r="O198" s="1448"/>
      <c r="P198" s="1448"/>
      <c r="Q198" s="1448"/>
      <c r="R198" s="1448"/>
      <c r="S198" s="1448"/>
      <c r="T198" s="1448"/>
      <c r="U198" s="1448"/>
      <c r="V198" s="1448"/>
      <c r="W198" s="1448"/>
      <c r="X198" s="1448"/>
      <c r="Y198" s="1448"/>
      <c r="Z198" s="1448"/>
      <c r="AA198" s="1448"/>
      <c r="AB198" s="1448"/>
      <c r="AC198" s="1448"/>
      <c r="AD198" s="1448"/>
      <c r="AE198" s="1448"/>
      <c r="AF198" s="1448"/>
      <c r="AG198" s="1448"/>
      <c r="AH198" s="1448"/>
      <c r="AI198" s="1448"/>
    </row>
    <row r="199" spans="1:35" ht="126">
      <c r="A199" s="42" t="s">
        <v>847</v>
      </c>
      <c r="B199" s="42" t="s">
        <v>619</v>
      </c>
      <c r="C199" s="42" t="s">
        <v>7</v>
      </c>
      <c r="D199" s="41" t="s">
        <v>848</v>
      </c>
      <c r="E199" s="475" t="s">
        <v>1057</v>
      </c>
      <c r="F199" s="41" t="s">
        <v>1179</v>
      </c>
      <c r="G199" s="1099">
        <f t="shared" si="16"/>
        <v>5102200</v>
      </c>
      <c r="H199" s="1101"/>
      <c r="I199" s="1101">
        <v>5102200</v>
      </c>
      <c r="J199" s="1101"/>
      <c r="K199" s="1543">
        <f t="shared" si="13"/>
        <v>5102200</v>
      </c>
      <c r="L199" s="1543">
        <f>G199-H199-I199</f>
        <v>0</v>
      </c>
      <c r="M199" s="1543">
        <f>G199-I199-H199</f>
        <v>0</v>
      </c>
      <c r="N199" s="1448"/>
      <c r="O199" s="1448"/>
      <c r="P199" s="1448"/>
      <c r="Q199" s="1448"/>
      <c r="R199" s="1448"/>
      <c r="S199" s="1448"/>
      <c r="T199" s="1448"/>
      <c r="U199" s="1448"/>
      <c r="V199" s="1448"/>
      <c r="W199" s="1448"/>
      <c r="X199" s="1448"/>
      <c r="Y199" s="1448"/>
      <c r="Z199" s="1448"/>
      <c r="AA199" s="1448"/>
      <c r="AB199" s="1448"/>
      <c r="AC199" s="1448"/>
      <c r="AD199" s="1448"/>
      <c r="AE199" s="1448"/>
      <c r="AF199" s="1448"/>
      <c r="AG199" s="1448"/>
      <c r="AH199" s="1448"/>
      <c r="AI199" s="1448"/>
    </row>
    <row r="200" spans="1:35" ht="63">
      <c r="A200" s="287" t="s">
        <v>575</v>
      </c>
      <c r="B200" s="287"/>
      <c r="C200" s="287"/>
      <c r="D200" s="286" t="s">
        <v>50</v>
      </c>
      <c r="E200" s="309"/>
      <c r="F200" s="962"/>
      <c r="G200" s="1098">
        <f>G201</f>
        <v>3360000</v>
      </c>
      <c r="H200" s="1098">
        <f>H201</f>
        <v>3360000</v>
      </c>
      <c r="I200" s="1098">
        <f>I201</f>
        <v>0</v>
      </c>
      <c r="J200" s="1098">
        <f>J201</f>
        <v>0</v>
      </c>
      <c r="K200" s="1543">
        <f t="shared" si="13"/>
        <v>3360000</v>
      </c>
      <c r="L200" s="1448"/>
      <c r="M200" s="1543">
        <f t="shared" ref="M200:M207" si="17">G200-I200-H200</f>
        <v>0</v>
      </c>
      <c r="N200" s="1448"/>
      <c r="O200" s="1448"/>
      <c r="P200" s="1448"/>
      <c r="Q200" s="1448"/>
      <c r="R200" s="1448"/>
      <c r="S200" s="1448"/>
      <c r="T200" s="1448"/>
      <c r="U200" s="1448"/>
      <c r="V200" s="1448"/>
      <c r="W200" s="1448"/>
      <c r="X200" s="1448"/>
      <c r="Y200" s="1448"/>
      <c r="Z200" s="1448"/>
      <c r="AA200" s="1448"/>
      <c r="AB200" s="1448"/>
      <c r="AC200" s="1448"/>
      <c r="AD200" s="1448"/>
      <c r="AE200" s="1448"/>
      <c r="AF200" s="1448"/>
      <c r="AG200" s="1448"/>
      <c r="AH200" s="1448"/>
      <c r="AI200" s="1448"/>
    </row>
    <row r="201" spans="1:35" ht="67.5" customHeight="1">
      <c r="A201" s="287" t="s">
        <v>576</v>
      </c>
      <c r="B201" s="287"/>
      <c r="C201" s="287"/>
      <c r="D201" s="286" t="s">
        <v>50</v>
      </c>
      <c r="E201" s="309"/>
      <c r="F201" s="962"/>
      <c r="G201" s="1098">
        <f>SUM(G202:G204)</f>
        <v>3360000</v>
      </c>
      <c r="H201" s="1098">
        <f>SUM(H202:H204)</f>
        <v>3360000</v>
      </c>
      <c r="I201" s="1098">
        <f>SUM(I202:I204)</f>
        <v>0</v>
      </c>
      <c r="J201" s="1098">
        <f>SUM(J202:J204)</f>
        <v>0</v>
      </c>
      <c r="K201" s="1543">
        <f t="shared" si="13"/>
        <v>3360000</v>
      </c>
      <c r="L201" s="1448"/>
      <c r="M201" s="1543">
        <f t="shared" si="17"/>
        <v>0</v>
      </c>
      <c r="N201" s="1448"/>
      <c r="O201" s="1448"/>
      <c r="P201" s="1448"/>
      <c r="Q201" s="1448"/>
      <c r="R201" s="1448"/>
      <c r="S201" s="1448"/>
      <c r="T201" s="1448"/>
      <c r="U201" s="1448"/>
      <c r="V201" s="1448"/>
      <c r="W201" s="1448"/>
      <c r="X201" s="1448"/>
      <c r="Y201" s="1448"/>
      <c r="Z201" s="1448"/>
      <c r="AA201" s="1448"/>
      <c r="AB201" s="1448"/>
      <c r="AC201" s="1448"/>
      <c r="AD201" s="1448"/>
      <c r="AE201" s="1448"/>
      <c r="AF201" s="1448"/>
      <c r="AG201" s="1448"/>
      <c r="AH201" s="1448"/>
      <c r="AI201" s="1448"/>
    </row>
    <row r="202" spans="1:35" ht="63">
      <c r="A202" s="280" t="s">
        <v>754</v>
      </c>
      <c r="B202" s="280" t="s">
        <v>7</v>
      </c>
      <c r="C202" s="280" t="s">
        <v>10</v>
      </c>
      <c r="D202" s="1097" t="s">
        <v>399</v>
      </c>
      <c r="E202" s="307" t="s">
        <v>1059</v>
      </c>
      <c r="F202" s="41" t="s">
        <v>1181</v>
      </c>
      <c r="G202" s="1099">
        <f>H202+I202</f>
        <v>3360000</v>
      </c>
      <c r="H202" s="1099">
        <v>3360000</v>
      </c>
      <c r="I202" s="1099"/>
      <c r="J202" s="1099"/>
      <c r="K202" s="1543">
        <f t="shared" si="13"/>
        <v>3360000</v>
      </c>
      <c r="L202" s="1448"/>
      <c r="M202" s="1543">
        <f t="shared" si="17"/>
        <v>0</v>
      </c>
      <c r="N202" s="1448"/>
      <c r="O202" s="1448"/>
      <c r="P202" s="1448"/>
      <c r="Q202" s="1448"/>
      <c r="R202" s="1448"/>
      <c r="S202" s="1448"/>
      <c r="T202" s="1448"/>
      <c r="U202" s="1448"/>
      <c r="V202" s="1448"/>
      <c r="W202" s="1448"/>
      <c r="X202" s="1448"/>
      <c r="Y202" s="1448"/>
      <c r="Z202" s="1448"/>
      <c r="AA202" s="1448"/>
      <c r="AB202" s="1448"/>
      <c r="AC202" s="1448"/>
      <c r="AD202" s="1448"/>
      <c r="AE202" s="1448"/>
      <c r="AF202" s="1448"/>
      <c r="AG202" s="1448"/>
      <c r="AH202" s="1448"/>
      <c r="AI202" s="1448"/>
    </row>
    <row r="203" spans="1:35" s="17" customFormat="1" ht="78.75" hidden="1">
      <c r="A203" s="293" t="s">
        <v>577</v>
      </c>
      <c r="B203" s="293" t="s">
        <v>578</v>
      </c>
      <c r="C203" s="293" t="s">
        <v>163</v>
      </c>
      <c r="D203" s="45" t="s">
        <v>786</v>
      </c>
      <c r="E203" s="45" t="s">
        <v>796</v>
      </c>
      <c r="F203" s="973"/>
      <c r="G203" s="1100">
        <f>H203+I203</f>
        <v>0</v>
      </c>
      <c r="H203" s="1100"/>
      <c r="I203" s="1100"/>
      <c r="J203" s="1100"/>
      <c r="K203" s="568">
        <f t="shared" si="13"/>
        <v>0</v>
      </c>
      <c r="M203" s="83">
        <f t="shared" si="17"/>
        <v>0</v>
      </c>
    </row>
    <row r="204" spans="1:35" s="17" customFormat="1" ht="54" hidden="1" customHeight="1">
      <c r="A204" s="293" t="s">
        <v>775</v>
      </c>
      <c r="B204" s="293" t="s">
        <v>776</v>
      </c>
      <c r="C204" s="293" t="s">
        <v>5</v>
      </c>
      <c r="D204" s="45" t="s">
        <v>387</v>
      </c>
      <c r="E204" s="471" t="s">
        <v>802</v>
      </c>
      <c r="F204" s="975"/>
      <c r="G204" s="1100">
        <f>H204+I204</f>
        <v>0</v>
      </c>
      <c r="H204" s="1100"/>
      <c r="I204" s="1100"/>
      <c r="J204" s="1100"/>
      <c r="K204" s="568">
        <f t="shared" si="13"/>
        <v>0</v>
      </c>
      <c r="M204" s="83">
        <f t="shared" si="17"/>
        <v>0</v>
      </c>
    </row>
    <row r="205" spans="1:35" ht="63">
      <c r="A205" s="287" t="s">
        <v>585</v>
      </c>
      <c r="B205" s="287"/>
      <c r="C205" s="287"/>
      <c r="D205" s="286" t="s">
        <v>897</v>
      </c>
      <c r="E205" s="309"/>
      <c r="F205" s="962"/>
      <c r="G205" s="1098">
        <f>G206</f>
        <v>15498800</v>
      </c>
      <c r="H205" s="1098">
        <f>H206</f>
        <v>14918800</v>
      </c>
      <c r="I205" s="1098">
        <f>I206</f>
        <v>580000</v>
      </c>
      <c r="J205" s="1098">
        <f>J206</f>
        <v>80000</v>
      </c>
      <c r="K205" s="1543">
        <f t="shared" ref="K205:K268" si="18">SUM(H205:I205)</f>
        <v>15498800</v>
      </c>
      <c r="L205" s="1543">
        <f>G205-H205-I205</f>
        <v>0</v>
      </c>
      <c r="M205" s="1543">
        <f t="shared" si="17"/>
        <v>0</v>
      </c>
      <c r="N205" s="1448"/>
      <c r="O205" s="1448"/>
      <c r="P205" s="1448"/>
      <c r="Q205" s="1448"/>
      <c r="R205" s="1448"/>
      <c r="S205" s="1448"/>
      <c r="T205" s="1448"/>
      <c r="U205" s="1448"/>
      <c r="V205" s="1448"/>
      <c r="W205" s="1448"/>
      <c r="X205" s="1448"/>
      <c r="Y205" s="1448"/>
      <c r="Z205" s="1448"/>
      <c r="AA205" s="1448"/>
      <c r="AB205" s="1448"/>
      <c r="AC205" s="1448"/>
      <c r="AD205" s="1448"/>
      <c r="AE205" s="1448"/>
      <c r="AF205" s="1448"/>
      <c r="AG205" s="1448"/>
      <c r="AH205" s="1448"/>
      <c r="AI205" s="1448"/>
    </row>
    <row r="206" spans="1:35" ht="63">
      <c r="A206" s="287" t="s">
        <v>586</v>
      </c>
      <c r="B206" s="287"/>
      <c r="C206" s="287"/>
      <c r="D206" s="286" t="s">
        <v>897</v>
      </c>
      <c r="E206" s="309"/>
      <c r="F206" s="962"/>
      <c r="G206" s="1098">
        <f>SUM(G207:G213)</f>
        <v>15498800</v>
      </c>
      <c r="H206" s="1098">
        <f>SUM(H207:H213)</f>
        <v>14918800</v>
      </c>
      <c r="I206" s="1098">
        <f>SUM(I207:I213)</f>
        <v>580000</v>
      </c>
      <c r="J206" s="1098">
        <f>SUM(J207:J213)</f>
        <v>80000</v>
      </c>
      <c r="K206" s="1543">
        <f t="shared" si="18"/>
        <v>15498800</v>
      </c>
      <c r="L206" s="1543">
        <f>G206-H206-I206</f>
        <v>0</v>
      </c>
      <c r="M206" s="1543">
        <f t="shared" si="17"/>
        <v>0</v>
      </c>
      <c r="N206" s="1448"/>
      <c r="O206" s="1448"/>
      <c r="P206" s="1448"/>
      <c r="Q206" s="1448"/>
      <c r="R206" s="1448"/>
      <c r="S206" s="1448"/>
      <c r="T206" s="1448"/>
      <c r="U206" s="1448"/>
      <c r="V206" s="1448"/>
      <c r="W206" s="1448"/>
      <c r="X206" s="1448"/>
      <c r="Y206" s="1448"/>
      <c r="Z206" s="1448"/>
      <c r="AA206" s="1448"/>
      <c r="AB206" s="1448"/>
      <c r="AC206" s="1448"/>
      <c r="AD206" s="1448"/>
      <c r="AE206" s="1448"/>
      <c r="AF206" s="1448"/>
      <c r="AG206" s="1448"/>
      <c r="AH206" s="1448"/>
      <c r="AI206" s="1448"/>
    </row>
    <row r="207" spans="1:35" ht="45">
      <c r="A207" s="42" t="s">
        <v>902</v>
      </c>
      <c r="B207" s="42" t="s">
        <v>580</v>
      </c>
      <c r="C207" s="42" t="s">
        <v>372</v>
      </c>
      <c r="D207" s="41" t="s">
        <v>581</v>
      </c>
      <c r="E207" s="474" t="s">
        <v>1060</v>
      </c>
      <c r="F207" s="979" t="s">
        <v>1061</v>
      </c>
      <c r="G207" s="1101">
        <f t="shared" ref="G207:G212" si="19">H207+I207</f>
        <v>6150000</v>
      </c>
      <c r="H207" s="1101">
        <v>6150000</v>
      </c>
      <c r="I207" s="488"/>
      <c r="J207" s="488"/>
      <c r="K207" s="1543">
        <f t="shared" si="18"/>
        <v>6150000</v>
      </c>
      <c r="L207" s="1543">
        <f>G207-H207-I207</f>
        <v>0</v>
      </c>
      <c r="M207" s="1543">
        <f t="shared" si="17"/>
        <v>0</v>
      </c>
      <c r="N207" s="1448"/>
      <c r="O207" s="1448"/>
      <c r="P207" s="1448"/>
      <c r="Q207" s="1448"/>
      <c r="R207" s="1448"/>
      <c r="S207" s="1448"/>
      <c r="T207" s="1448"/>
      <c r="U207" s="1448"/>
      <c r="V207" s="1448"/>
      <c r="W207" s="1448"/>
      <c r="X207" s="1448"/>
      <c r="Y207" s="1448"/>
      <c r="Z207" s="1448"/>
      <c r="AA207" s="1448"/>
      <c r="AB207" s="1448"/>
      <c r="AC207" s="1448"/>
      <c r="AD207" s="1448"/>
      <c r="AE207" s="1448"/>
      <c r="AF207" s="1448"/>
      <c r="AG207" s="1448"/>
      <c r="AH207" s="1448"/>
      <c r="AI207" s="1448"/>
    </row>
    <row r="208" spans="1:35" s="17" customFormat="1" ht="31.5" hidden="1">
      <c r="A208" s="42" t="s">
        <v>903</v>
      </c>
      <c r="B208" s="42" t="s">
        <v>583</v>
      </c>
      <c r="C208" s="42" t="s">
        <v>372</v>
      </c>
      <c r="D208" s="41" t="s">
        <v>584</v>
      </c>
      <c r="E208" s="323"/>
      <c r="F208" s="329"/>
      <c r="G208" s="1101">
        <f t="shared" si="19"/>
        <v>0</v>
      </c>
      <c r="H208" s="1101"/>
      <c r="I208" s="1101"/>
      <c r="J208" s="1101"/>
      <c r="K208" s="568">
        <f t="shared" si="18"/>
        <v>0</v>
      </c>
      <c r="M208" s="83"/>
    </row>
    <row r="209" spans="1:35" s="17" customFormat="1" ht="47.25" hidden="1">
      <c r="A209" s="42" t="s">
        <v>755</v>
      </c>
      <c r="B209" s="42" t="s">
        <v>756</v>
      </c>
      <c r="C209" s="42" t="s">
        <v>521</v>
      </c>
      <c r="D209" s="41" t="s">
        <v>757</v>
      </c>
      <c r="E209" s="473" t="s">
        <v>1045</v>
      </c>
      <c r="F209" s="960" t="s">
        <v>1172</v>
      </c>
      <c r="G209" s="1101">
        <f t="shared" si="19"/>
        <v>0</v>
      </c>
      <c r="H209" s="1101"/>
      <c r="I209" s="488"/>
      <c r="J209" s="488"/>
      <c r="K209" s="568">
        <f t="shared" si="18"/>
        <v>0</v>
      </c>
      <c r="L209" s="83">
        <f t="shared" ref="L209:L215" si="20">G209-H209-I209</f>
        <v>0</v>
      </c>
      <c r="M209" s="83">
        <f t="shared" ref="M209:M215" si="21">G209-I209-H209</f>
        <v>0</v>
      </c>
    </row>
    <row r="210" spans="1:35" ht="45">
      <c r="A210" s="42" t="s">
        <v>816</v>
      </c>
      <c r="B210" s="42" t="s">
        <v>749</v>
      </c>
      <c r="C210" s="42" t="s">
        <v>278</v>
      </c>
      <c r="D210" s="41" t="s">
        <v>750</v>
      </c>
      <c r="E210" s="473" t="s">
        <v>1045</v>
      </c>
      <c r="F210" s="960" t="s">
        <v>1172</v>
      </c>
      <c r="G210" s="1101">
        <f t="shared" si="19"/>
        <v>818800</v>
      </c>
      <c r="H210" s="1101">
        <v>818800</v>
      </c>
      <c r="I210" s="1101"/>
      <c r="J210" s="1101"/>
      <c r="K210" s="1543">
        <f t="shared" si="18"/>
        <v>818800</v>
      </c>
      <c r="L210" s="1543">
        <f t="shared" si="20"/>
        <v>0</v>
      </c>
      <c r="M210" s="1543">
        <f t="shared" si="21"/>
        <v>0</v>
      </c>
      <c r="N210" s="1448"/>
      <c r="O210" s="1448"/>
      <c r="P210" s="1448"/>
      <c r="Q210" s="1448"/>
      <c r="R210" s="1448"/>
      <c r="S210" s="1448"/>
      <c r="T210" s="1448"/>
      <c r="U210" s="1448"/>
      <c r="V210" s="1448"/>
      <c r="W210" s="1448"/>
      <c r="X210" s="1448"/>
      <c r="Y210" s="1448"/>
      <c r="Z210" s="1448"/>
      <c r="AA210" s="1448"/>
      <c r="AB210" s="1448"/>
      <c r="AC210" s="1448"/>
      <c r="AD210" s="1448"/>
      <c r="AE210" s="1448"/>
      <c r="AF210" s="1448"/>
      <c r="AG210" s="1448"/>
      <c r="AH210" s="1448"/>
      <c r="AI210" s="1448"/>
    </row>
    <row r="211" spans="1:35" ht="45">
      <c r="A211" s="42" t="s">
        <v>587</v>
      </c>
      <c r="B211" s="42" t="s">
        <v>148</v>
      </c>
      <c r="C211" s="42" t="s">
        <v>378</v>
      </c>
      <c r="D211" s="41" t="s">
        <v>228</v>
      </c>
      <c r="E211" s="473" t="s">
        <v>1045</v>
      </c>
      <c r="F211" s="960" t="s">
        <v>1172</v>
      </c>
      <c r="G211" s="1101">
        <f t="shared" si="19"/>
        <v>3000000</v>
      </c>
      <c r="H211" s="1101">
        <v>3000000</v>
      </c>
      <c r="I211" s="1101"/>
      <c r="J211" s="1101"/>
      <c r="K211" s="1543">
        <f t="shared" si="18"/>
        <v>3000000</v>
      </c>
      <c r="L211" s="1543">
        <f t="shared" si="20"/>
        <v>0</v>
      </c>
      <c r="M211" s="1543">
        <f t="shared" si="21"/>
        <v>0</v>
      </c>
      <c r="N211" s="1448"/>
      <c r="O211" s="1448"/>
      <c r="P211" s="1448"/>
      <c r="Q211" s="1448"/>
      <c r="R211" s="1448"/>
      <c r="S211" s="1448"/>
      <c r="T211" s="1448"/>
      <c r="U211" s="1448"/>
      <c r="V211" s="1448"/>
      <c r="W211" s="1448"/>
      <c r="X211" s="1448"/>
      <c r="Y211" s="1448"/>
      <c r="Z211" s="1448"/>
      <c r="AA211" s="1448"/>
      <c r="AB211" s="1448"/>
      <c r="AC211" s="1448"/>
      <c r="AD211" s="1448"/>
      <c r="AE211" s="1448"/>
      <c r="AF211" s="1448"/>
      <c r="AG211" s="1448"/>
      <c r="AH211" s="1448"/>
      <c r="AI211" s="1448"/>
    </row>
    <row r="212" spans="1:35" ht="45">
      <c r="A212" s="42" t="s">
        <v>588</v>
      </c>
      <c r="B212" s="42" t="s">
        <v>589</v>
      </c>
      <c r="C212" s="42" t="s">
        <v>278</v>
      </c>
      <c r="D212" s="41" t="s">
        <v>149</v>
      </c>
      <c r="E212" s="473" t="s">
        <v>1045</v>
      </c>
      <c r="F212" s="960" t="s">
        <v>1172</v>
      </c>
      <c r="G212" s="1099">
        <f t="shared" si="19"/>
        <v>1030000</v>
      </c>
      <c r="H212" s="1099">
        <f>900000+50000</f>
        <v>950000</v>
      </c>
      <c r="I212" s="1099">
        <v>80000</v>
      </c>
      <c r="J212" s="1099">
        <v>80000</v>
      </c>
      <c r="K212" s="1543">
        <f t="shared" si="18"/>
        <v>1030000</v>
      </c>
      <c r="L212" s="1543">
        <f t="shared" si="20"/>
        <v>0</v>
      </c>
      <c r="M212" s="1543">
        <f t="shared" si="21"/>
        <v>0</v>
      </c>
      <c r="N212" s="1448"/>
      <c r="O212" s="1448"/>
      <c r="P212" s="1448"/>
      <c r="Q212" s="1448"/>
      <c r="R212" s="1448"/>
      <c r="S212" s="1448"/>
      <c r="T212" s="1448"/>
      <c r="U212" s="1448"/>
      <c r="V212" s="1448"/>
      <c r="W212" s="1448"/>
      <c r="X212" s="1448"/>
      <c r="Y212" s="1448"/>
      <c r="Z212" s="1448"/>
      <c r="AA212" s="1448"/>
      <c r="AB212" s="1448"/>
      <c r="AC212" s="1448"/>
      <c r="AD212" s="1448"/>
      <c r="AE212" s="1448"/>
      <c r="AF212" s="1448"/>
      <c r="AG212" s="1448"/>
      <c r="AH212" s="1448"/>
      <c r="AI212" s="1448"/>
    </row>
    <row r="213" spans="1:35" ht="45">
      <c r="A213" s="42" t="s">
        <v>904</v>
      </c>
      <c r="B213" s="42" t="s">
        <v>803</v>
      </c>
      <c r="C213" s="42" t="s">
        <v>67</v>
      </c>
      <c r="D213" s="41" t="s">
        <v>540</v>
      </c>
      <c r="E213" s="474" t="s">
        <v>1060</v>
      </c>
      <c r="F213" s="979" t="s">
        <v>1061</v>
      </c>
      <c r="G213" s="1101">
        <f>H213+I213</f>
        <v>4500000</v>
      </c>
      <c r="H213" s="1101">
        <v>4000000</v>
      </c>
      <c r="I213" s="1101">
        <v>500000</v>
      </c>
      <c r="J213" s="1101"/>
      <c r="K213" s="1543">
        <f t="shared" si="18"/>
        <v>4500000</v>
      </c>
      <c r="L213" s="1543">
        <f t="shared" si="20"/>
        <v>0</v>
      </c>
      <c r="M213" s="1543">
        <f t="shared" si="21"/>
        <v>0</v>
      </c>
      <c r="N213" s="1448"/>
      <c r="O213" s="1448"/>
      <c r="P213" s="1448"/>
      <c r="Q213" s="1448"/>
      <c r="R213" s="1448"/>
      <c r="S213" s="1448"/>
      <c r="T213" s="1448"/>
      <c r="U213" s="1448"/>
      <c r="V213" s="1448"/>
      <c r="W213" s="1448"/>
      <c r="X213" s="1448"/>
      <c r="Y213" s="1448"/>
      <c r="Z213" s="1448"/>
      <c r="AA213" s="1448"/>
      <c r="AB213" s="1448"/>
      <c r="AC213" s="1448"/>
      <c r="AD213" s="1448"/>
      <c r="AE213" s="1448"/>
      <c r="AF213" s="1448"/>
      <c r="AG213" s="1448"/>
      <c r="AH213" s="1448"/>
      <c r="AI213" s="1448"/>
    </row>
    <row r="214" spans="1:35" ht="47.25">
      <c r="A214" s="287" t="s">
        <v>591</v>
      </c>
      <c r="B214" s="287"/>
      <c r="C214" s="287"/>
      <c r="D214" s="286" t="s">
        <v>328</v>
      </c>
      <c r="E214" s="309"/>
      <c r="F214" s="962"/>
      <c r="G214" s="1098">
        <f>G215</f>
        <v>4896600</v>
      </c>
      <c r="H214" s="1098">
        <f>H215</f>
        <v>0</v>
      </c>
      <c r="I214" s="1098">
        <f>I215</f>
        <v>4896600</v>
      </c>
      <c r="J214" s="1098">
        <f>J215</f>
        <v>0</v>
      </c>
      <c r="K214" s="1543">
        <f t="shared" si="18"/>
        <v>4896600</v>
      </c>
      <c r="L214" s="1543">
        <f t="shared" si="20"/>
        <v>0</v>
      </c>
      <c r="M214" s="1543">
        <f t="shared" si="21"/>
        <v>0</v>
      </c>
      <c r="N214" s="1448"/>
      <c r="O214" s="1448"/>
      <c r="P214" s="1448"/>
      <c r="Q214" s="1448"/>
      <c r="R214" s="1448"/>
      <c r="S214" s="1448"/>
      <c r="T214" s="1448"/>
      <c r="U214" s="1448"/>
      <c r="V214" s="1448"/>
      <c r="W214" s="1448"/>
      <c r="X214" s="1448"/>
      <c r="Y214" s="1448"/>
      <c r="Z214" s="1448"/>
      <c r="AA214" s="1448"/>
      <c r="AB214" s="1448"/>
      <c r="AC214" s="1448"/>
      <c r="AD214" s="1448"/>
      <c r="AE214" s="1448"/>
      <c r="AF214" s="1448"/>
      <c r="AG214" s="1448"/>
      <c r="AH214" s="1448"/>
      <c r="AI214" s="1448"/>
    </row>
    <row r="215" spans="1:35" ht="47.25">
      <c r="A215" s="287" t="s">
        <v>592</v>
      </c>
      <c r="B215" s="288"/>
      <c r="C215" s="288"/>
      <c r="D215" s="286" t="s">
        <v>328</v>
      </c>
      <c r="E215" s="309"/>
      <c r="F215" s="962"/>
      <c r="G215" s="1098">
        <f>SUM(G216:G220)</f>
        <v>4896600</v>
      </c>
      <c r="H215" s="1098">
        <f>SUM(H216:H220)</f>
        <v>0</v>
      </c>
      <c r="I215" s="1098">
        <f>SUM(I216:I220)</f>
        <v>4896600</v>
      </c>
      <c r="J215" s="1098">
        <f>SUM(J216:J220)</f>
        <v>0</v>
      </c>
      <c r="K215" s="1543">
        <f t="shared" si="18"/>
        <v>4896600</v>
      </c>
      <c r="L215" s="1543">
        <f t="shared" si="20"/>
        <v>0</v>
      </c>
      <c r="M215" s="1543">
        <f t="shared" si="21"/>
        <v>0</v>
      </c>
      <c r="N215" s="1448"/>
      <c r="O215" s="1448"/>
      <c r="P215" s="1448"/>
      <c r="Q215" s="1448"/>
      <c r="R215" s="1448"/>
      <c r="S215" s="1448"/>
      <c r="T215" s="1448"/>
      <c r="U215" s="1448"/>
      <c r="V215" s="1448"/>
      <c r="W215" s="1448"/>
      <c r="X215" s="1448"/>
      <c r="Y215" s="1448"/>
      <c r="Z215" s="1448"/>
      <c r="AA215" s="1448"/>
      <c r="AB215" s="1448"/>
      <c r="AC215" s="1448"/>
      <c r="AD215" s="1448"/>
      <c r="AE215" s="1448"/>
      <c r="AF215" s="1448"/>
      <c r="AG215" s="1448"/>
      <c r="AH215" s="1448"/>
      <c r="AI215" s="1448"/>
    </row>
    <row r="216" spans="1:35" s="17" customFormat="1" ht="31.5" hidden="1">
      <c r="A216" s="293" t="s">
        <v>593</v>
      </c>
      <c r="B216" s="293" t="s">
        <v>393</v>
      </c>
      <c r="C216" s="293" t="s">
        <v>6</v>
      </c>
      <c r="D216" s="45" t="s">
        <v>394</v>
      </c>
      <c r="E216" s="323"/>
      <c r="F216" s="329"/>
      <c r="G216" s="1101">
        <f t="shared" ref="G216:G224" si="22">H216+I216</f>
        <v>0</v>
      </c>
      <c r="H216" s="1101"/>
      <c r="I216" s="1101"/>
      <c r="J216" s="1101"/>
      <c r="K216" s="568">
        <f t="shared" si="18"/>
        <v>0</v>
      </c>
    </row>
    <row r="217" spans="1:35" s="17" customFormat="1" ht="15.75">
      <c r="A217" s="293" t="s">
        <v>594</v>
      </c>
      <c r="B217" s="293" t="s">
        <v>573</v>
      </c>
      <c r="C217" s="293" t="s">
        <v>26</v>
      </c>
      <c r="D217" s="45" t="s">
        <v>91</v>
      </c>
      <c r="E217" s="322"/>
      <c r="F217" s="444"/>
      <c r="G217" s="1105">
        <f t="shared" si="22"/>
        <v>200000</v>
      </c>
      <c r="H217" s="1105"/>
      <c r="I217" s="1105">
        <v>200000</v>
      </c>
      <c r="J217" s="1105"/>
      <c r="K217" s="1543">
        <f t="shared" si="18"/>
        <v>200000</v>
      </c>
      <c r="L217" s="1448"/>
      <c r="M217" s="1448"/>
      <c r="N217" s="1448"/>
      <c r="O217" s="1448"/>
      <c r="P217" s="1448"/>
      <c r="Q217" s="1448"/>
      <c r="R217" s="1448"/>
      <c r="S217" s="1448"/>
      <c r="T217" s="1448"/>
      <c r="U217" s="1448"/>
      <c r="V217" s="1448"/>
      <c r="W217" s="1448"/>
      <c r="X217" s="1448"/>
      <c r="Y217" s="1448"/>
      <c r="Z217" s="1448"/>
      <c r="AA217" s="1448"/>
      <c r="AB217" s="1448"/>
      <c r="AC217" s="1448"/>
      <c r="AD217" s="1448"/>
      <c r="AE217" s="1448"/>
      <c r="AF217" s="1448"/>
      <c r="AG217" s="1448"/>
      <c r="AH217" s="1448"/>
      <c r="AI217" s="1448"/>
    </row>
    <row r="218" spans="1:35" s="17" customFormat="1" ht="63">
      <c r="A218" s="293" t="s">
        <v>595</v>
      </c>
      <c r="B218" s="293" t="s">
        <v>596</v>
      </c>
      <c r="C218" s="293" t="s">
        <v>375</v>
      </c>
      <c r="D218" s="45" t="s">
        <v>191</v>
      </c>
      <c r="E218" s="322" t="s">
        <v>1055</v>
      </c>
      <c r="F218" s="444" t="s">
        <v>1056</v>
      </c>
      <c r="G218" s="1105">
        <f t="shared" si="22"/>
        <v>1528600</v>
      </c>
      <c r="H218" s="1105"/>
      <c r="I218" s="1105">
        <v>1528600</v>
      </c>
      <c r="J218" s="1105"/>
      <c r="K218" s="1543">
        <f t="shared" si="18"/>
        <v>1528600</v>
      </c>
      <c r="L218" s="1543">
        <f>G218-H218-I218</f>
        <v>0</v>
      </c>
      <c r="M218" s="1543">
        <f>G218-I218-H218</f>
        <v>0</v>
      </c>
      <c r="N218" s="1448"/>
      <c r="O218" s="1448"/>
      <c r="P218" s="1448"/>
      <c r="Q218" s="1448"/>
      <c r="R218" s="1448"/>
      <c r="S218" s="1448"/>
      <c r="T218" s="1448"/>
      <c r="U218" s="1448"/>
      <c r="V218" s="1448"/>
      <c r="W218" s="1448"/>
      <c r="X218" s="1448"/>
      <c r="Y218" s="1448"/>
      <c r="Z218" s="1448"/>
      <c r="AA218" s="1448"/>
      <c r="AB218" s="1448"/>
      <c r="AC218" s="1448"/>
      <c r="AD218" s="1448"/>
      <c r="AE218" s="1448"/>
      <c r="AF218" s="1448"/>
      <c r="AG218" s="1448"/>
      <c r="AH218" s="1448"/>
      <c r="AI218" s="1448"/>
    </row>
    <row r="219" spans="1:35" ht="47.25">
      <c r="A219" s="42" t="s">
        <v>766</v>
      </c>
      <c r="B219" s="42" t="s">
        <v>767</v>
      </c>
      <c r="C219" s="42" t="s">
        <v>376</v>
      </c>
      <c r="D219" s="41" t="s">
        <v>574</v>
      </c>
      <c r="E219" s="323" t="s">
        <v>1055</v>
      </c>
      <c r="F219" s="329" t="s">
        <v>1056</v>
      </c>
      <c r="G219" s="1101">
        <f>H219+I219</f>
        <v>960000</v>
      </c>
      <c r="H219" s="1101"/>
      <c r="I219" s="1101">
        <v>960000</v>
      </c>
      <c r="J219" s="1101"/>
      <c r="K219" s="1543">
        <f t="shared" si="18"/>
        <v>960000</v>
      </c>
      <c r="L219" s="1448"/>
      <c r="M219" s="1543">
        <f>G219-I219-H219</f>
        <v>0</v>
      </c>
      <c r="N219" s="1448"/>
      <c r="O219" s="1448"/>
      <c r="P219" s="1448"/>
      <c r="Q219" s="1448"/>
      <c r="R219" s="1448"/>
      <c r="S219" s="1448"/>
      <c r="T219" s="1448"/>
      <c r="U219" s="1448"/>
      <c r="V219" s="1448"/>
      <c r="W219" s="1448"/>
      <c r="X219" s="1448"/>
      <c r="Y219" s="1448"/>
      <c r="Z219" s="1448"/>
      <c r="AA219" s="1448"/>
      <c r="AB219" s="1448"/>
      <c r="AC219" s="1448"/>
      <c r="AD219" s="1448"/>
      <c r="AE219" s="1448"/>
      <c r="AF219" s="1448"/>
      <c r="AG219" s="1448"/>
      <c r="AH219" s="1448"/>
      <c r="AI219" s="1448"/>
    </row>
    <row r="220" spans="1:35" s="17" customFormat="1" ht="63">
      <c r="A220" s="42" t="s">
        <v>922</v>
      </c>
      <c r="B220" s="42" t="s">
        <v>923</v>
      </c>
      <c r="C220" s="42" t="s">
        <v>7</v>
      </c>
      <c r="D220" s="41" t="s">
        <v>895</v>
      </c>
      <c r="E220" s="307" t="s">
        <v>818</v>
      </c>
      <c r="F220" s="971"/>
      <c r="G220" s="1101">
        <f t="shared" si="22"/>
        <v>2208000</v>
      </c>
      <c r="H220" s="1101"/>
      <c r="I220" s="1101">
        <v>2208000</v>
      </c>
      <c r="J220" s="1101"/>
      <c r="K220" s="1543">
        <f t="shared" si="18"/>
        <v>2208000</v>
      </c>
      <c r="L220" s="1448"/>
      <c r="M220" s="1448"/>
      <c r="N220" s="1448"/>
      <c r="O220" s="1448"/>
      <c r="P220" s="1448"/>
      <c r="Q220" s="1448"/>
      <c r="R220" s="1448"/>
      <c r="S220" s="1448"/>
      <c r="T220" s="1448"/>
      <c r="U220" s="1448"/>
      <c r="V220" s="1448"/>
      <c r="W220" s="1448"/>
      <c r="X220" s="1448"/>
      <c r="Y220" s="1448"/>
      <c r="Z220" s="1448"/>
      <c r="AA220" s="1448"/>
      <c r="AB220" s="1448"/>
      <c r="AC220" s="1448"/>
      <c r="AD220" s="1448"/>
      <c r="AE220" s="1448"/>
      <c r="AF220" s="1448"/>
      <c r="AG220" s="1448"/>
      <c r="AH220" s="1448"/>
      <c r="AI220" s="1448"/>
    </row>
    <row r="221" spans="1:35" ht="47.25">
      <c r="A221" s="287" t="s">
        <v>279</v>
      </c>
      <c r="B221" s="287"/>
      <c r="C221" s="287"/>
      <c r="D221" s="286" t="s">
        <v>296</v>
      </c>
      <c r="E221" s="309"/>
      <c r="F221" s="962"/>
      <c r="G221" s="1098">
        <f t="shared" si="22"/>
        <v>554100</v>
      </c>
      <c r="H221" s="1098">
        <f>H223+H224</f>
        <v>554100</v>
      </c>
      <c r="I221" s="1098">
        <f>I223+I224</f>
        <v>0</v>
      </c>
      <c r="J221" s="1098"/>
      <c r="K221" s="1543">
        <f t="shared" si="18"/>
        <v>554100</v>
      </c>
      <c r="L221" s="1543">
        <f>G221-H221-I221</f>
        <v>0</v>
      </c>
      <c r="M221" s="1543">
        <f>G221-I221-H221</f>
        <v>0</v>
      </c>
      <c r="N221" s="1448"/>
      <c r="O221" s="1448"/>
      <c r="P221" s="1448"/>
      <c r="Q221" s="1448"/>
      <c r="R221" s="1448"/>
      <c r="S221" s="1448"/>
      <c r="T221" s="1448"/>
      <c r="U221" s="1448"/>
      <c r="V221" s="1448"/>
      <c r="W221" s="1448"/>
      <c r="X221" s="1448"/>
      <c r="Y221" s="1448"/>
      <c r="Z221" s="1448"/>
      <c r="AA221" s="1448"/>
      <c r="AB221" s="1448"/>
      <c r="AC221" s="1448"/>
      <c r="AD221" s="1448"/>
      <c r="AE221" s="1448"/>
      <c r="AF221" s="1448"/>
      <c r="AG221" s="1448"/>
      <c r="AH221" s="1448"/>
      <c r="AI221" s="1448"/>
    </row>
    <row r="222" spans="1:35" ht="47.25">
      <c r="A222" s="287" t="s">
        <v>280</v>
      </c>
      <c r="B222" s="287"/>
      <c r="C222" s="287"/>
      <c r="D222" s="286" t="s">
        <v>296</v>
      </c>
      <c r="E222" s="309"/>
      <c r="F222" s="962"/>
      <c r="G222" s="1098">
        <f>G223</f>
        <v>554100</v>
      </c>
      <c r="H222" s="1098">
        <f>H223</f>
        <v>554100</v>
      </c>
      <c r="I222" s="1098">
        <f>I223</f>
        <v>0</v>
      </c>
      <c r="J222" s="1098">
        <f>J223</f>
        <v>0</v>
      </c>
      <c r="K222" s="1543">
        <f t="shared" si="18"/>
        <v>554100</v>
      </c>
      <c r="L222" s="1543">
        <f>G222-H222-I222</f>
        <v>0</v>
      </c>
      <c r="M222" s="1543">
        <f>G222-I222-H222</f>
        <v>0</v>
      </c>
      <c r="N222" s="1448"/>
      <c r="O222" s="1448"/>
      <c r="P222" s="1448"/>
      <c r="Q222" s="1448"/>
      <c r="R222" s="1448"/>
      <c r="S222" s="1448"/>
      <c r="T222" s="1448"/>
      <c r="U222" s="1448"/>
      <c r="V222" s="1448"/>
      <c r="W222" s="1448"/>
      <c r="X222" s="1448"/>
      <c r="Y222" s="1448"/>
      <c r="Z222" s="1448"/>
      <c r="AA222" s="1448"/>
      <c r="AB222" s="1448"/>
      <c r="AC222" s="1448"/>
      <c r="AD222" s="1448"/>
      <c r="AE222" s="1448"/>
      <c r="AF222" s="1448"/>
      <c r="AG222" s="1448"/>
      <c r="AH222" s="1448"/>
      <c r="AI222" s="1448"/>
    </row>
    <row r="223" spans="1:35" ht="63">
      <c r="A223" s="42" t="s">
        <v>597</v>
      </c>
      <c r="B223" s="42" t="s">
        <v>598</v>
      </c>
      <c r="C223" s="42" t="s">
        <v>370</v>
      </c>
      <c r="D223" s="41" t="s">
        <v>787</v>
      </c>
      <c r="E223" s="307" t="s">
        <v>1062</v>
      </c>
      <c r="F223" s="971" t="s">
        <v>1063</v>
      </c>
      <c r="G223" s="1101">
        <f t="shared" si="22"/>
        <v>554100</v>
      </c>
      <c r="H223" s="1101">
        <v>554100</v>
      </c>
      <c r="I223" s="487"/>
      <c r="J223" s="487"/>
      <c r="K223" s="1543">
        <f t="shared" si="18"/>
        <v>554100</v>
      </c>
      <c r="L223" s="1543">
        <f>G223-H223-I223</f>
        <v>0</v>
      </c>
      <c r="M223" s="1543">
        <f>G223-I223-H223</f>
        <v>0</v>
      </c>
      <c r="N223" s="1448"/>
      <c r="O223" s="1448"/>
      <c r="P223" s="1448"/>
      <c r="Q223" s="1448"/>
      <c r="R223" s="1448"/>
      <c r="S223" s="1448"/>
      <c r="T223" s="1448"/>
      <c r="U223" s="1448"/>
      <c r="V223" s="1448"/>
      <c r="W223" s="1448"/>
      <c r="X223" s="1448"/>
      <c r="Y223" s="1448"/>
      <c r="Z223" s="1448"/>
      <c r="AA223" s="1448"/>
      <c r="AB223" s="1448"/>
      <c r="AC223" s="1448"/>
      <c r="AD223" s="1448"/>
      <c r="AE223" s="1448"/>
      <c r="AF223" s="1448"/>
      <c r="AG223" s="1448"/>
      <c r="AH223" s="1448"/>
      <c r="AI223" s="1448"/>
    </row>
    <row r="224" spans="1:35" s="17" customFormat="1" ht="15.75" hidden="1">
      <c r="A224" s="42" t="s">
        <v>758</v>
      </c>
      <c r="B224" s="42" t="s">
        <v>571</v>
      </c>
      <c r="C224" s="42" t="s">
        <v>370</v>
      </c>
      <c r="D224" s="41" t="s">
        <v>308</v>
      </c>
      <c r="E224" s="323"/>
      <c r="F224" s="329"/>
      <c r="G224" s="1101">
        <f t="shared" si="22"/>
        <v>0</v>
      </c>
      <c r="H224" s="1101"/>
      <c r="I224" s="1101"/>
      <c r="J224" s="1101"/>
      <c r="K224" s="568">
        <f t="shared" si="18"/>
        <v>0</v>
      </c>
    </row>
    <row r="225" spans="1:35" ht="31.5">
      <c r="A225" s="287" t="s">
        <v>603</v>
      </c>
      <c r="B225" s="287"/>
      <c r="C225" s="287"/>
      <c r="D225" s="286" t="s">
        <v>121</v>
      </c>
      <c r="E225" s="309"/>
      <c r="F225" s="962"/>
      <c r="G225" s="1098">
        <f>G226</f>
        <v>11012000</v>
      </c>
      <c r="H225" s="1098">
        <f>H226</f>
        <v>9018600</v>
      </c>
      <c r="I225" s="1098">
        <f>I226</f>
        <v>1993400</v>
      </c>
      <c r="J225" s="1098">
        <f>J226</f>
        <v>1963400</v>
      </c>
      <c r="K225" s="1543">
        <f t="shared" si="18"/>
        <v>11012000</v>
      </c>
      <c r="L225" s="1543">
        <f>G225-H225-I225</f>
        <v>0</v>
      </c>
      <c r="M225" s="1543">
        <f>G225-I225-H225</f>
        <v>0</v>
      </c>
      <c r="N225" s="1448"/>
      <c r="O225" s="1448"/>
      <c r="P225" s="1448"/>
      <c r="Q225" s="1448"/>
      <c r="R225" s="1448"/>
      <c r="S225" s="1448"/>
      <c r="T225" s="1448"/>
      <c r="U225" s="1448"/>
      <c r="V225" s="1448"/>
      <c r="W225" s="1448"/>
      <c r="X225" s="1448"/>
      <c r="Y225" s="1448"/>
      <c r="Z225" s="1448"/>
      <c r="AA225" s="1448"/>
      <c r="AB225" s="1448"/>
      <c r="AC225" s="1448"/>
      <c r="AD225" s="1448"/>
      <c r="AE225" s="1448"/>
      <c r="AF225" s="1448"/>
      <c r="AG225" s="1448"/>
      <c r="AH225" s="1448"/>
      <c r="AI225" s="1448"/>
    </row>
    <row r="226" spans="1:35" ht="31.5">
      <c r="A226" s="287" t="s">
        <v>602</v>
      </c>
      <c r="B226" s="287"/>
      <c r="C226" s="287"/>
      <c r="D226" s="286" t="s">
        <v>121</v>
      </c>
      <c r="E226" s="309"/>
      <c r="F226" s="962"/>
      <c r="G226" s="1098">
        <f>SUM(G227:G246)</f>
        <v>11012000</v>
      </c>
      <c r="H226" s="1098">
        <f>SUM(H227:H246)</f>
        <v>9018600</v>
      </c>
      <c r="I226" s="1098">
        <f>SUM(I227:I246)</f>
        <v>1993400</v>
      </c>
      <c r="J226" s="1098">
        <f>SUM(J227:J246)</f>
        <v>1963400</v>
      </c>
      <c r="K226" s="1543">
        <f t="shared" si="18"/>
        <v>11012000</v>
      </c>
      <c r="L226" s="1543">
        <f>G226-H226-I226</f>
        <v>0</v>
      </c>
      <c r="M226" s="1543">
        <f>G226-I226-H226</f>
        <v>0</v>
      </c>
      <c r="N226" s="1448"/>
      <c r="O226" s="1448"/>
      <c r="P226" s="1448"/>
      <c r="Q226" s="1448"/>
      <c r="R226" s="1448"/>
      <c r="S226" s="1448"/>
      <c r="T226" s="1448"/>
      <c r="U226" s="1448"/>
      <c r="V226" s="1448"/>
      <c r="W226" s="1448"/>
      <c r="X226" s="1448"/>
      <c r="Y226" s="1448"/>
      <c r="Z226" s="1448"/>
      <c r="AA226" s="1448"/>
      <c r="AB226" s="1448"/>
      <c r="AC226" s="1448"/>
      <c r="AD226" s="1448"/>
      <c r="AE226" s="1448"/>
      <c r="AF226" s="1448"/>
      <c r="AG226" s="1448"/>
      <c r="AH226" s="1448"/>
      <c r="AI226" s="1448"/>
    </row>
    <row r="227" spans="1:35" s="17" customFormat="1" ht="15.75" hidden="1">
      <c r="A227" s="42" t="s">
        <v>604</v>
      </c>
      <c r="B227" s="42" t="s">
        <v>605</v>
      </c>
      <c r="C227" s="42" t="s">
        <v>10</v>
      </c>
      <c r="D227" s="41" t="s">
        <v>271</v>
      </c>
      <c r="E227" s="323"/>
      <c r="F227" s="329"/>
      <c r="G227" s="1101">
        <f t="shared" ref="G227:G277" si="23">H227+I227</f>
        <v>0</v>
      </c>
      <c r="H227" s="1101"/>
      <c r="I227" s="1101"/>
      <c r="J227" s="1101"/>
      <c r="K227" s="568">
        <f t="shared" si="18"/>
        <v>0</v>
      </c>
    </row>
    <row r="228" spans="1:35" s="17" customFormat="1" ht="47.25" hidden="1">
      <c r="A228" s="42" t="s">
        <v>606</v>
      </c>
      <c r="B228" s="42" t="s">
        <v>27</v>
      </c>
      <c r="C228" s="42" t="s">
        <v>7</v>
      </c>
      <c r="D228" s="33" t="s">
        <v>607</v>
      </c>
      <c r="E228" s="48"/>
      <c r="F228" s="96"/>
      <c r="G228" s="1101">
        <f t="shared" si="23"/>
        <v>0</v>
      </c>
      <c r="H228" s="1101"/>
      <c r="I228" s="1101"/>
      <c r="J228" s="1101"/>
      <c r="K228" s="568">
        <f t="shared" si="18"/>
        <v>0</v>
      </c>
    </row>
    <row r="229" spans="1:35" s="17" customFormat="1" ht="94.5" hidden="1">
      <c r="A229" s="42" t="s">
        <v>723</v>
      </c>
      <c r="B229" s="42" t="s">
        <v>374</v>
      </c>
      <c r="C229" s="42" t="s">
        <v>7</v>
      </c>
      <c r="D229" s="33" t="s">
        <v>721</v>
      </c>
      <c r="E229" s="48"/>
      <c r="F229" s="96"/>
      <c r="G229" s="1101">
        <f t="shared" si="23"/>
        <v>0</v>
      </c>
      <c r="H229" s="1101"/>
      <c r="I229" s="1101"/>
      <c r="J229" s="1101"/>
      <c r="K229" s="568">
        <f t="shared" si="18"/>
        <v>0</v>
      </c>
    </row>
    <row r="230" spans="1:35" s="17" customFormat="1" ht="173.25" hidden="1">
      <c r="A230" s="42" t="s">
        <v>614</v>
      </c>
      <c r="B230" s="42" t="s">
        <v>615</v>
      </c>
      <c r="C230" s="42" t="s">
        <v>7</v>
      </c>
      <c r="D230" s="33" t="s">
        <v>616</v>
      </c>
      <c r="E230" s="316"/>
      <c r="F230" s="327"/>
      <c r="G230" s="1099">
        <f t="shared" si="23"/>
        <v>0</v>
      </c>
      <c r="H230" s="1099"/>
      <c r="I230" s="1099"/>
      <c r="J230" s="1099"/>
      <c r="K230" s="568">
        <f t="shared" si="18"/>
        <v>0</v>
      </c>
    </row>
    <row r="231" spans="1:35" s="17" customFormat="1" ht="94.5" hidden="1">
      <c r="A231" s="42" t="s">
        <v>611</v>
      </c>
      <c r="B231" s="42" t="s">
        <v>612</v>
      </c>
      <c r="C231" s="42" t="s">
        <v>7</v>
      </c>
      <c r="D231" s="33" t="s">
        <v>613</v>
      </c>
      <c r="E231" s="316"/>
      <c r="F231" s="327"/>
      <c r="G231" s="1099">
        <f t="shared" si="23"/>
        <v>0</v>
      </c>
      <c r="H231" s="1099"/>
      <c r="I231" s="1099"/>
      <c r="J231" s="1099"/>
      <c r="K231" s="568">
        <f t="shared" si="18"/>
        <v>0</v>
      </c>
    </row>
    <row r="232" spans="1:35" s="17" customFormat="1" ht="299.25" hidden="1">
      <c r="A232" s="42" t="s">
        <v>608</v>
      </c>
      <c r="B232" s="42" t="s">
        <v>609</v>
      </c>
      <c r="C232" s="42" t="s">
        <v>7</v>
      </c>
      <c r="D232" s="34" t="s">
        <v>610</v>
      </c>
      <c r="E232" s="323"/>
      <c r="F232" s="329"/>
      <c r="G232" s="1101">
        <f t="shared" si="23"/>
        <v>0</v>
      </c>
      <c r="H232" s="1101"/>
      <c r="I232" s="1101"/>
      <c r="J232" s="1101"/>
      <c r="K232" s="568">
        <f t="shared" si="18"/>
        <v>0</v>
      </c>
    </row>
    <row r="233" spans="1:35" s="17" customFormat="1" ht="346.5" hidden="1">
      <c r="A233" s="441" t="s">
        <v>628</v>
      </c>
      <c r="B233" s="441" t="s">
        <v>627</v>
      </c>
      <c r="C233" s="441" t="s">
        <v>7</v>
      </c>
      <c r="D233" s="446" t="s">
        <v>629</v>
      </c>
      <c r="E233" s="447"/>
      <c r="F233" s="448"/>
      <c r="G233" s="1100">
        <f t="shared" si="23"/>
        <v>0</v>
      </c>
      <c r="H233" s="1100"/>
      <c r="I233" s="1100"/>
      <c r="J233" s="1100"/>
      <c r="K233" s="568">
        <f t="shared" si="18"/>
        <v>0</v>
      </c>
    </row>
    <row r="234" spans="1:35" s="17" customFormat="1" ht="236.25" hidden="1">
      <c r="A234" s="279" t="s">
        <v>623</v>
      </c>
      <c r="B234" s="279" t="s">
        <v>621</v>
      </c>
      <c r="C234" s="279" t="s">
        <v>7</v>
      </c>
      <c r="D234" s="35" t="s">
        <v>622</v>
      </c>
      <c r="E234" s="316"/>
      <c r="F234" s="327"/>
      <c r="G234" s="1099">
        <f t="shared" si="23"/>
        <v>0</v>
      </c>
      <c r="H234" s="1099"/>
      <c r="I234" s="1099"/>
      <c r="J234" s="1099"/>
      <c r="K234" s="568">
        <f t="shared" si="18"/>
        <v>0</v>
      </c>
    </row>
    <row r="235" spans="1:35" s="17" customFormat="1" ht="63" hidden="1">
      <c r="A235" s="279" t="s">
        <v>630</v>
      </c>
      <c r="B235" s="279" t="s">
        <v>431</v>
      </c>
      <c r="C235" s="279" t="s">
        <v>7</v>
      </c>
      <c r="D235" s="35" t="s">
        <v>432</v>
      </c>
      <c r="E235" s="46"/>
      <c r="F235" s="97"/>
      <c r="G235" s="1099">
        <f t="shared" si="23"/>
        <v>0</v>
      </c>
      <c r="H235" s="1099"/>
      <c r="I235" s="1099"/>
      <c r="J235" s="1099"/>
      <c r="K235" s="568">
        <f t="shared" si="18"/>
        <v>0</v>
      </c>
    </row>
    <row r="236" spans="1:35" s="17" customFormat="1" ht="78.75" hidden="1">
      <c r="A236" s="280" t="s">
        <v>618</v>
      </c>
      <c r="B236" s="280" t="s">
        <v>619</v>
      </c>
      <c r="C236" s="280" t="s">
        <v>7</v>
      </c>
      <c r="D236" s="248" t="s">
        <v>620</v>
      </c>
      <c r="E236" s="192"/>
      <c r="F236" s="193"/>
      <c r="G236" s="1099">
        <f t="shared" si="23"/>
        <v>0</v>
      </c>
      <c r="H236" s="1099"/>
      <c r="I236" s="1099"/>
      <c r="J236" s="1099"/>
      <c r="K236" s="568">
        <f t="shared" si="18"/>
        <v>0</v>
      </c>
    </row>
    <row r="237" spans="1:35" s="17" customFormat="1" ht="315" hidden="1">
      <c r="A237" s="451">
        <v>3719610</v>
      </c>
      <c r="B237" s="451">
        <v>9610</v>
      </c>
      <c r="C237" s="280" t="s">
        <v>7</v>
      </c>
      <c r="D237" s="454" t="s">
        <v>632</v>
      </c>
      <c r="E237" s="192"/>
      <c r="F237" s="193"/>
      <c r="G237" s="1099">
        <f t="shared" si="23"/>
        <v>0</v>
      </c>
      <c r="H237" s="1099"/>
      <c r="I237" s="1099"/>
      <c r="J237" s="1099"/>
      <c r="K237" s="568">
        <f t="shared" si="18"/>
        <v>0</v>
      </c>
    </row>
    <row r="238" spans="1:35" s="17" customFormat="1" ht="78.75" hidden="1">
      <c r="A238" s="279" t="s">
        <v>625</v>
      </c>
      <c r="B238" s="279" t="s">
        <v>624</v>
      </c>
      <c r="C238" s="279" t="s">
        <v>7</v>
      </c>
      <c r="D238" s="35" t="s">
        <v>626</v>
      </c>
      <c r="E238" s="46"/>
      <c r="F238" s="97"/>
      <c r="G238" s="1099">
        <f t="shared" si="23"/>
        <v>0</v>
      </c>
      <c r="H238" s="1099"/>
      <c r="I238" s="1099"/>
      <c r="J238" s="1099"/>
      <c r="K238" s="568">
        <f t="shared" si="18"/>
        <v>0</v>
      </c>
    </row>
    <row r="239" spans="1:35" s="17" customFormat="1" ht="31.5" hidden="1">
      <c r="A239" s="279" t="s">
        <v>763</v>
      </c>
      <c r="B239" s="279" t="s">
        <v>764</v>
      </c>
      <c r="C239" s="279" t="s">
        <v>7</v>
      </c>
      <c r="D239" s="35" t="s">
        <v>765</v>
      </c>
      <c r="E239" s="46"/>
      <c r="F239" s="97"/>
      <c r="G239" s="1099">
        <f t="shared" si="23"/>
        <v>0</v>
      </c>
      <c r="H239" s="1099"/>
      <c r="I239" s="1099"/>
      <c r="J239" s="1099"/>
      <c r="K239" s="568">
        <f t="shared" si="18"/>
        <v>0</v>
      </c>
    </row>
    <row r="240" spans="1:35" ht="47.25">
      <c r="A240" s="42" t="s">
        <v>631</v>
      </c>
      <c r="B240" s="42" t="s">
        <v>401</v>
      </c>
      <c r="C240" s="42" t="s">
        <v>7</v>
      </c>
      <c r="D240" s="40" t="s">
        <v>474</v>
      </c>
      <c r="E240" s="323" t="s">
        <v>852</v>
      </c>
      <c r="F240" s="323" t="s">
        <v>1043</v>
      </c>
      <c r="G240" s="1099">
        <f t="shared" si="23"/>
        <v>4000000</v>
      </c>
      <c r="H240" s="1099">
        <f>2500000+1500000</f>
        <v>4000000</v>
      </c>
      <c r="I240" s="1099"/>
      <c r="J240" s="1099"/>
      <c r="K240" s="1543">
        <f t="shared" si="18"/>
        <v>4000000</v>
      </c>
      <c r="L240" s="1543">
        <f>G240-H240-I240</f>
        <v>0</v>
      </c>
      <c r="M240" s="1543">
        <f>G240-I240-H240</f>
        <v>0</v>
      </c>
      <c r="N240" s="1448"/>
      <c r="O240" s="1448"/>
      <c r="P240" s="1448"/>
      <c r="Q240" s="1448"/>
      <c r="R240" s="1448"/>
      <c r="S240" s="1448"/>
      <c r="T240" s="1448"/>
      <c r="U240" s="1448"/>
      <c r="V240" s="1448"/>
      <c r="W240" s="1448"/>
      <c r="X240" s="1448"/>
      <c r="Y240" s="1448"/>
      <c r="Z240" s="1448"/>
      <c r="AA240" s="1448"/>
      <c r="AB240" s="1448"/>
      <c r="AC240" s="1448"/>
      <c r="AD240" s="1448"/>
      <c r="AE240" s="1448"/>
      <c r="AF240" s="1448"/>
      <c r="AG240" s="1448"/>
      <c r="AH240" s="1448"/>
      <c r="AI240" s="1448"/>
    </row>
    <row r="241" spans="1:35" s="17" customFormat="1" ht="78" customHeight="1">
      <c r="A241" s="279" t="s">
        <v>617</v>
      </c>
      <c r="B241" s="279" t="s">
        <v>396</v>
      </c>
      <c r="C241" s="279" t="s">
        <v>7</v>
      </c>
      <c r="D241" s="33" t="s">
        <v>397</v>
      </c>
      <c r="E241" s="323" t="s">
        <v>879</v>
      </c>
      <c r="F241" s="329" t="s">
        <v>1895</v>
      </c>
      <c r="G241" s="1099">
        <f t="shared" si="23"/>
        <v>5467000</v>
      </c>
      <c r="H241" s="1099">
        <v>4576400</v>
      </c>
      <c r="I241" s="1099">
        <v>890600</v>
      </c>
      <c r="J241" s="1099">
        <v>890600</v>
      </c>
      <c r="K241" s="1543">
        <f t="shared" si="18"/>
        <v>5467000</v>
      </c>
      <c r="L241" s="1448"/>
      <c r="M241" s="1543">
        <f t="shared" ref="M241:M246" si="24">G241-I241-H241</f>
        <v>0</v>
      </c>
      <c r="N241" s="1448"/>
      <c r="O241" s="1448"/>
      <c r="P241" s="1448"/>
      <c r="Q241" s="1448"/>
      <c r="R241" s="1448"/>
      <c r="S241" s="1448"/>
      <c r="T241" s="1448"/>
      <c r="U241" s="1448"/>
      <c r="V241" s="1448"/>
      <c r="W241" s="1448"/>
      <c r="X241" s="1448"/>
      <c r="Y241" s="1448"/>
      <c r="Z241" s="1448"/>
      <c r="AA241" s="1448"/>
      <c r="AB241" s="1448"/>
      <c r="AC241" s="1448"/>
      <c r="AD241" s="1448"/>
      <c r="AE241" s="1448"/>
      <c r="AF241" s="1448"/>
      <c r="AG241" s="1448"/>
      <c r="AH241" s="1448"/>
      <c r="AI241" s="1448"/>
    </row>
    <row r="242" spans="1:35" s="17" customFormat="1" ht="87.75" customHeight="1">
      <c r="A242" s="279" t="s">
        <v>617</v>
      </c>
      <c r="B242" s="279" t="s">
        <v>396</v>
      </c>
      <c r="C242" s="279" t="s">
        <v>7</v>
      </c>
      <c r="D242" s="33" t="s">
        <v>397</v>
      </c>
      <c r="E242" s="323" t="s">
        <v>878</v>
      </c>
      <c r="F242" s="329" t="s">
        <v>1896</v>
      </c>
      <c r="G242" s="1099">
        <f t="shared" si="23"/>
        <v>345000</v>
      </c>
      <c r="H242" s="1099">
        <v>242200</v>
      </c>
      <c r="I242" s="1099">
        <v>102800</v>
      </c>
      <c r="J242" s="1099">
        <v>72800</v>
      </c>
      <c r="K242" s="1543">
        <f t="shared" si="18"/>
        <v>345000</v>
      </c>
      <c r="L242" s="1448"/>
      <c r="M242" s="1543">
        <f t="shared" si="24"/>
        <v>0</v>
      </c>
      <c r="N242" s="1448"/>
      <c r="O242" s="1448"/>
      <c r="P242" s="1448"/>
      <c r="Q242" s="1448"/>
      <c r="R242" s="1448"/>
      <c r="S242" s="1448"/>
      <c r="T242" s="1448"/>
      <c r="U242" s="1448"/>
      <c r="V242" s="1448"/>
      <c r="W242" s="1448"/>
      <c r="X242" s="1448"/>
      <c r="Y242" s="1448"/>
      <c r="Z242" s="1448"/>
      <c r="AA242" s="1448"/>
      <c r="AB242" s="1448"/>
      <c r="AC242" s="1448"/>
      <c r="AD242" s="1448"/>
      <c r="AE242" s="1448"/>
      <c r="AF242" s="1448"/>
      <c r="AG242" s="1448"/>
      <c r="AH242" s="1448"/>
      <c r="AI242" s="1448"/>
    </row>
    <row r="243" spans="1:35" s="17" customFormat="1" ht="97.5" customHeight="1">
      <c r="A243" s="279" t="s">
        <v>617</v>
      </c>
      <c r="B243" s="279" t="s">
        <v>396</v>
      </c>
      <c r="C243" s="279" t="s">
        <v>7</v>
      </c>
      <c r="D243" s="33" t="s">
        <v>397</v>
      </c>
      <c r="E243" s="323" t="s">
        <v>877</v>
      </c>
      <c r="F243" s="329" t="s">
        <v>1897</v>
      </c>
      <c r="G243" s="1099">
        <f t="shared" si="23"/>
        <v>600000</v>
      </c>
      <c r="H243" s="1099">
        <v>100000</v>
      </c>
      <c r="I243" s="1099">
        <v>500000</v>
      </c>
      <c r="J243" s="1099">
        <v>500000</v>
      </c>
      <c r="K243" s="1543">
        <f t="shared" si="18"/>
        <v>600000</v>
      </c>
      <c r="L243" s="1448"/>
      <c r="M243" s="1543">
        <f t="shared" si="24"/>
        <v>0</v>
      </c>
      <c r="N243" s="1448"/>
      <c r="O243" s="1448"/>
      <c r="P243" s="1448"/>
      <c r="Q243" s="1448"/>
      <c r="R243" s="1448"/>
      <c r="S243" s="1448"/>
      <c r="T243" s="1448"/>
      <c r="U243" s="1448"/>
      <c r="V243" s="1448"/>
      <c r="W243" s="1448"/>
      <c r="X243" s="1448"/>
      <c r="Y243" s="1448"/>
      <c r="Z243" s="1448"/>
      <c r="AA243" s="1448"/>
      <c r="AB243" s="1448"/>
      <c r="AC243" s="1448"/>
      <c r="AD243" s="1448"/>
      <c r="AE243" s="1448"/>
      <c r="AF243" s="1448"/>
      <c r="AG243" s="1448"/>
      <c r="AH243" s="1448"/>
      <c r="AI243" s="1448"/>
    </row>
    <row r="244" spans="1:35" s="17" customFormat="1" ht="94.5">
      <c r="A244" s="279" t="s">
        <v>617</v>
      </c>
      <c r="B244" s="279" t="s">
        <v>396</v>
      </c>
      <c r="C244" s="279" t="s">
        <v>7</v>
      </c>
      <c r="D244" s="33" t="s">
        <v>397</v>
      </c>
      <c r="E244" s="323" t="s">
        <v>880</v>
      </c>
      <c r="F244" s="329" t="s">
        <v>1898</v>
      </c>
      <c r="G244" s="1099">
        <f t="shared" si="23"/>
        <v>600000</v>
      </c>
      <c r="H244" s="1099">
        <v>100000</v>
      </c>
      <c r="I244" s="1099">
        <v>500000</v>
      </c>
      <c r="J244" s="1099">
        <v>500000</v>
      </c>
      <c r="K244" s="1543">
        <f t="shared" si="18"/>
        <v>600000</v>
      </c>
      <c r="L244" s="1448"/>
      <c r="M244" s="1543">
        <f t="shared" si="24"/>
        <v>0</v>
      </c>
      <c r="N244" s="1448"/>
      <c r="O244" s="1448"/>
      <c r="P244" s="1448"/>
      <c r="Q244" s="1448"/>
      <c r="R244" s="1448"/>
      <c r="S244" s="1448"/>
      <c r="T244" s="1448"/>
      <c r="U244" s="1448"/>
      <c r="V244" s="1448"/>
      <c r="W244" s="1448"/>
      <c r="X244" s="1448"/>
      <c r="Y244" s="1448"/>
      <c r="Z244" s="1448"/>
      <c r="AA244" s="1448"/>
      <c r="AB244" s="1448"/>
      <c r="AC244" s="1448"/>
      <c r="AD244" s="1448"/>
      <c r="AE244" s="1448"/>
      <c r="AF244" s="1448"/>
      <c r="AG244" s="1448"/>
      <c r="AH244" s="1448"/>
      <c r="AI244" s="1448"/>
    </row>
    <row r="245" spans="1:35" s="17" customFormat="1" ht="63" hidden="1">
      <c r="A245" s="279" t="s">
        <v>617</v>
      </c>
      <c r="B245" s="279" t="s">
        <v>396</v>
      </c>
      <c r="C245" s="279" t="s">
        <v>7</v>
      </c>
      <c r="D245" s="33" t="s">
        <v>397</v>
      </c>
      <c r="E245" s="323" t="s">
        <v>851</v>
      </c>
      <c r="F245" s="329"/>
      <c r="G245" s="1099">
        <f t="shared" si="23"/>
        <v>0</v>
      </c>
      <c r="H245" s="1099"/>
      <c r="I245" s="1099"/>
      <c r="J245" s="1099"/>
      <c r="K245" s="568">
        <f t="shared" si="18"/>
        <v>0</v>
      </c>
      <c r="M245" s="83">
        <f t="shared" si="24"/>
        <v>0</v>
      </c>
    </row>
    <row r="246" spans="1:35" s="17" customFormat="1" ht="63" hidden="1">
      <c r="A246" s="279" t="s">
        <v>617</v>
      </c>
      <c r="B246" s="279" t="s">
        <v>396</v>
      </c>
      <c r="C246" s="279" t="s">
        <v>7</v>
      </c>
      <c r="D246" s="33" t="s">
        <v>397</v>
      </c>
      <c r="E246" s="515" t="s">
        <v>819</v>
      </c>
      <c r="F246" s="980"/>
      <c r="G246" s="1099">
        <f t="shared" si="23"/>
        <v>0</v>
      </c>
      <c r="H246" s="1099"/>
      <c r="I246" s="1099"/>
      <c r="J246" s="1099"/>
      <c r="K246" s="568">
        <f t="shared" si="18"/>
        <v>0</v>
      </c>
      <c r="M246" s="83">
        <f t="shared" si="24"/>
        <v>0</v>
      </c>
    </row>
    <row r="247" spans="1:35" s="17" customFormat="1" ht="15.75" hidden="1">
      <c r="A247" s="279"/>
      <c r="B247" s="279"/>
      <c r="C247" s="279"/>
      <c r="D247" s="33"/>
      <c r="E247" s="46"/>
      <c r="F247" s="97"/>
      <c r="G247" s="1099">
        <f t="shared" si="23"/>
        <v>0</v>
      </c>
      <c r="H247" s="1099"/>
      <c r="I247" s="1099"/>
      <c r="J247" s="1099"/>
      <c r="K247" s="568">
        <f t="shared" si="18"/>
        <v>0</v>
      </c>
    </row>
    <row r="248" spans="1:35" s="17" customFormat="1" ht="15.75" hidden="1">
      <c r="A248" s="279"/>
      <c r="B248" s="279"/>
      <c r="C248" s="279"/>
      <c r="D248" s="33"/>
      <c r="E248" s="46"/>
      <c r="F248" s="97"/>
      <c r="G248" s="1099">
        <f t="shared" si="23"/>
        <v>0</v>
      </c>
      <c r="H248" s="1099"/>
      <c r="I248" s="1099"/>
      <c r="J248" s="1099"/>
      <c r="K248" s="568">
        <f t="shared" si="18"/>
        <v>0</v>
      </c>
    </row>
    <row r="249" spans="1:35" s="17" customFormat="1" ht="15.75" hidden="1">
      <c r="A249" s="279"/>
      <c r="B249" s="279"/>
      <c r="C249" s="279"/>
      <c r="D249" s="33"/>
      <c r="E249" s="46"/>
      <c r="F249" s="97"/>
      <c r="G249" s="1099">
        <f t="shared" si="23"/>
        <v>0</v>
      </c>
      <c r="H249" s="1099"/>
      <c r="I249" s="1099"/>
      <c r="J249" s="1099"/>
      <c r="K249" s="568">
        <f t="shared" si="18"/>
        <v>0</v>
      </c>
    </row>
    <row r="250" spans="1:35" s="17" customFormat="1" ht="15.75" hidden="1">
      <c r="A250" s="279"/>
      <c r="B250" s="279"/>
      <c r="C250" s="279"/>
      <c r="D250" s="33"/>
      <c r="E250" s="46"/>
      <c r="F250" s="97"/>
      <c r="G250" s="1099">
        <f t="shared" si="23"/>
        <v>0</v>
      </c>
      <c r="H250" s="1099"/>
      <c r="I250" s="1099"/>
      <c r="J250" s="1099"/>
      <c r="K250" s="568">
        <f t="shared" si="18"/>
        <v>0</v>
      </c>
    </row>
    <row r="251" spans="1:35" s="17" customFormat="1" ht="15.75" hidden="1">
      <c r="A251" s="279"/>
      <c r="B251" s="279"/>
      <c r="C251" s="279"/>
      <c r="D251" s="33"/>
      <c r="E251" s="46"/>
      <c r="F251" s="97"/>
      <c r="G251" s="1099">
        <f t="shared" si="23"/>
        <v>0</v>
      </c>
      <c r="H251" s="1099"/>
      <c r="I251" s="1099"/>
      <c r="J251" s="1099"/>
      <c r="K251" s="568">
        <f t="shared" si="18"/>
        <v>0</v>
      </c>
    </row>
    <row r="252" spans="1:35" s="17" customFormat="1" ht="15.75" hidden="1">
      <c r="A252" s="279"/>
      <c r="B252" s="279"/>
      <c r="C252" s="279"/>
      <c r="D252" s="33"/>
      <c r="E252" s="46"/>
      <c r="F252" s="97"/>
      <c r="G252" s="1099">
        <f t="shared" si="23"/>
        <v>0</v>
      </c>
      <c r="H252" s="1099"/>
      <c r="I252" s="1099"/>
      <c r="J252" s="1099"/>
      <c r="K252" s="568">
        <f t="shared" si="18"/>
        <v>0</v>
      </c>
    </row>
    <row r="253" spans="1:35" s="17" customFormat="1" ht="15.75" hidden="1">
      <c r="A253" s="279"/>
      <c r="B253" s="279"/>
      <c r="C253" s="279"/>
      <c r="D253" s="33"/>
      <c r="E253" s="46"/>
      <c r="F253" s="97"/>
      <c r="G253" s="1099">
        <f t="shared" si="23"/>
        <v>0</v>
      </c>
      <c r="H253" s="1099"/>
      <c r="I253" s="1099"/>
      <c r="J253" s="1099"/>
      <c r="K253" s="568">
        <f t="shared" si="18"/>
        <v>0</v>
      </c>
    </row>
    <row r="254" spans="1:35" s="17" customFormat="1" ht="15.75" hidden="1">
      <c r="A254" s="279"/>
      <c r="B254" s="279"/>
      <c r="C254" s="279"/>
      <c r="D254" s="33"/>
      <c r="E254" s="46"/>
      <c r="F254" s="97"/>
      <c r="G254" s="1099">
        <f t="shared" si="23"/>
        <v>0</v>
      </c>
      <c r="H254" s="1099"/>
      <c r="I254" s="1099"/>
      <c r="J254" s="1099"/>
      <c r="K254" s="568">
        <f t="shared" si="18"/>
        <v>0</v>
      </c>
    </row>
    <row r="255" spans="1:35" s="17" customFormat="1" ht="15.75" hidden="1">
      <c r="A255" s="279"/>
      <c r="B255" s="279"/>
      <c r="C255" s="279"/>
      <c r="D255" s="33"/>
      <c r="E255" s="46"/>
      <c r="F255" s="97"/>
      <c r="G255" s="1099">
        <f t="shared" si="23"/>
        <v>0</v>
      </c>
      <c r="H255" s="1099"/>
      <c r="I255" s="1099"/>
      <c r="J255" s="1099"/>
      <c r="K255" s="568">
        <f t="shared" si="18"/>
        <v>0</v>
      </c>
    </row>
    <row r="256" spans="1:35" s="17" customFormat="1" ht="15.75" hidden="1">
      <c r="A256" s="279"/>
      <c r="B256" s="279"/>
      <c r="C256" s="279"/>
      <c r="D256" s="33"/>
      <c r="E256" s="46"/>
      <c r="F256" s="97"/>
      <c r="G256" s="1099">
        <f t="shared" si="23"/>
        <v>0</v>
      </c>
      <c r="H256" s="1099"/>
      <c r="I256" s="1099"/>
      <c r="J256" s="1099"/>
      <c r="K256" s="568">
        <f t="shared" si="18"/>
        <v>0</v>
      </c>
    </row>
    <row r="257" spans="1:11" s="17" customFormat="1" ht="15.75" hidden="1">
      <c r="A257" s="279"/>
      <c r="B257" s="279"/>
      <c r="C257" s="279"/>
      <c r="D257" s="33"/>
      <c r="E257" s="46"/>
      <c r="F257" s="97"/>
      <c r="G257" s="1099">
        <f t="shared" si="23"/>
        <v>0</v>
      </c>
      <c r="H257" s="1099"/>
      <c r="I257" s="1099"/>
      <c r="J257" s="1099"/>
      <c r="K257" s="568">
        <f t="shared" si="18"/>
        <v>0</v>
      </c>
    </row>
    <row r="258" spans="1:11" s="17" customFormat="1" ht="15.75" hidden="1">
      <c r="A258" s="279"/>
      <c r="B258" s="279"/>
      <c r="C258" s="279"/>
      <c r="D258" s="33"/>
      <c r="E258" s="46"/>
      <c r="F258" s="97"/>
      <c r="G258" s="1099">
        <f t="shared" si="23"/>
        <v>0</v>
      </c>
      <c r="H258" s="1099"/>
      <c r="I258" s="1099"/>
      <c r="J258" s="1099"/>
      <c r="K258" s="568">
        <f t="shared" si="18"/>
        <v>0</v>
      </c>
    </row>
    <row r="259" spans="1:11" s="17" customFormat="1" ht="15.75" hidden="1">
      <c r="A259" s="279"/>
      <c r="B259" s="279"/>
      <c r="C259" s="279"/>
      <c r="D259" s="33"/>
      <c r="E259" s="46"/>
      <c r="F259" s="97"/>
      <c r="G259" s="1099">
        <f t="shared" si="23"/>
        <v>0</v>
      </c>
      <c r="H259" s="1099"/>
      <c r="I259" s="1099"/>
      <c r="J259" s="1099"/>
      <c r="K259" s="568">
        <f t="shared" si="18"/>
        <v>0</v>
      </c>
    </row>
    <row r="260" spans="1:11" s="17" customFormat="1" ht="15.75" hidden="1">
      <c r="A260" s="279"/>
      <c r="B260" s="279"/>
      <c r="C260" s="279"/>
      <c r="D260" s="33"/>
      <c r="E260" s="46"/>
      <c r="F260" s="97"/>
      <c r="G260" s="1099">
        <f t="shared" si="23"/>
        <v>0</v>
      </c>
      <c r="H260" s="1099"/>
      <c r="I260" s="1099"/>
      <c r="J260" s="1099"/>
      <c r="K260" s="568">
        <f t="shared" si="18"/>
        <v>0</v>
      </c>
    </row>
    <row r="261" spans="1:11" s="17" customFormat="1" ht="15.75" hidden="1">
      <c r="A261" s="279"/>
      <c r="B261" s="279"/>
      <c r="C261" s="279"/>
      <c r="D261" s="33"/>
      <c r="E261" s="46"/>
      <c r="F261" s="97"/>
      <c r="G261" s="1099">
        <f t="shared" si="23"/>
        <v>0</v>
      </c>
      <c r="H261" s="1099"/>
      <c r="I261" s="1099"/>
      <c r="J261" s="1099"/>
      <c r="K261" s="568">
        <f t="shared" si="18"/>
        <v>0</v>
      </c>
    </row>
    <row r="262" spans="1:11" s="17" customFormat="1" ht="15.75" hidden="1">
      <c r="A262" s="279"/>
      <c r="B262" s="279"/>
      <c r="C262" s="279"/>
      <c r="D262" s="33"/>
      <c r="E262" s="46"/>
      <c r="F262" s="97"/>
      <c r="G262" s="1099">
        <f t="shared" si="23"/>
        <v>0</v>
      </c>
      <c r="H262" s="1099"/>
      <c r="I262" s="1099"/>
      <c r="J262" s="1099"/>
      <c r="K262" s="568">
        <f t="shared" si="18"/>
        <v>0</v>
      </c>
    </row>
    <row r="263" spans="1:11" s="17" customFormat="1" ht="15.75" hidden="1">
      <c r="A263" s="279"/>
      <c r="B263" s="279"/>
      <c r="C263" s="279"/>
      <c r="D263" s="33"/>
      <c r="E263" s="46"/>
      <c r="F263" s="97"/>
      <c r="G263" s="1099">
        <f t="shared" si="23"/>
        <v>0</v>
      </c>
      <c r="H263" s="1099"/>
      <c r="I263" s="1099"/>
      <c r="J263" s="1099"/>
      <c r="K263" s="568">
        <f t="shared" si="18"/>
        <v>0</v>
      </c>
    </row>
    <row r="264" spans="1:11" s="17" customFormat="1" ht="15.75" hidden="1">
      <c r="A264" s="279"/>
      <c r="B264" s="279"/>
      <c r="C264" s="279"/>
      <c r="D264" s="33"/>
      <c r="E264" s="46"/>
      <c r="F264" s="97"/>
      <c r="G264" s="1099">
        <f t="shared" si="23"/>
        <v>0</v>
      </c>
      <c r="H264" s="1099"/>
      <c r="I264" s="1099"/>
      <c r="J264" s="1099"/>
      <c r="K264" s="568">
        <f t="shared" si="18"/>
        <v>0</v>
      </c>
    </row>
    <row r="265" spans="1:11" s="17" customFormat="1" ht="15.75" hidden="1">
      <c r="A265" s="279"/>
      <c r="B265" s="279"/>
      <c r="C265" s="279"/>
      <c r="D265" s="33"/>
      <c r="E265" s="46"/>
      <c r="F265" s="97"/>
      <c r="G265" s="1099">
        <f t="shared" si="23"/>
        <v>0</v>
      </c>
      <c r="H265" s="1099"/>
      <c r="I265" s="1099"/>
      <c r="J265" s="1099"/>
      <c r="K265" s="568">
        <f t="shared" si="18"/>
        <v>0</v>
      </c>
    </row>
    <row r="266" spans="1:11" s="17" customFormat="1" ht="15.75" hidden="1">
      <c r="A266" s="279"/>
      <c r="B266" s="279"/>
      <c r="C266" s="279"/>
      <c r="D266" s="33"/>
      <c r="E266" s="46"/>
      <c r="F266" s="97"/>
      <c r="G266" s="1099">
        <f t="shared" si="23"/>
        <v>0</v>
      </c>
      <c r="H266" s="1099"/>
      <c r="I266" s="1099"/>
      <c r="J266" s="1099"/>
      <c r="K266" s="568">
        <f t="shared" si="18"/>
        <v>0</v>
      </c>
    </row>
    <row r="267" spans="1:11" s="17" customFormat="1" ht="15.75" hidden="1">
      <c r="A267" s="279"/>
      <c r="B267" s="279"/>
      <c r="C267" s="279"/>
      <c r="D267" s="33"/>
      <c r="E267" s="46"/>
      <c r="F267" s="97"/>
      <c r="G267" s="1099">
        <f t="shared" si="23"/>
        <v>0</v>
      </c>
      <c r="H267" s="1099"/>
      <c r="I267" s="1099"/>
      <c r="J267" s="1099"/>
      <c r="K267" s="568">
        <f t="shared" si="18"/>
        <v>0</v>
      </c>
    </row>
    <row r="268" spans="1:11" s="17" customFormat="1" ht="15.75" hidden="1">
      <c r="A268" s="279"/>
      <c r="B268" s="279"/>
      <c r="C268" s="279"/>
      <c r="D268" s="33"/>
      <c r="E268" s="46"/>
      <c r="F268" s="97"/>
      <c r="G268" s="1099">
        <f t="shared" si="23"/>
        <v>0</v>
      </c>
      <c r="H268" s="1099"/>
      <c r="I268" s="1099"/>
      <c r="J268" s="1099"/>
      <c r="K268" s="568">
        <f t="shared" si="18"/>
        <v>0</v>
      </c>
    </row>
    <row r="269" spans="1:11" s="17" customFormat="1" ht="15.75" hidden="1">
      <c r="A269" s="279"/>
      <c r="B269" s="279"/>
      <c r="C269" s="279"/>
      <c r="D269" s="33"/>
      <c r="E269" s="46"/>
      <c r="F269" s="97"/>
      <c r="G269" s="1099">
        <f t="shared" si="23"/>
        <v>0</v>
      </c>
      <c r="H269" s="1099"/>
      <c r="I269" s="1099"/>
      <c r="J269" s="1099"/>
      <c r="K269" s="568">
        <f t="shared" ref="K269:K278" si="25">SUM(H269:I269)</f>
        <v>0</v>
      </c>
    </row>
    <row r="270" spans="1:11" s="17" customFormat="1" ht="15.75" hidden="1">
      <c r="A270" s="279"/>
      <c r="B270" s="279"/>
      <c r="C270" s="279"/>
      <c r="D270" s="33"/>
      <c r="E270" s="46"/>
      <c r="F270" s="97"/>
      <c r="G270" s="1099">
        <f t="shared" si="23"/>
        <v>0</v>
      </c>
      <c r="H270" s="1099"/>
      <c r="I270" s="1099"/>
      <c r="J270" s="1099"/>
      <c r="K270" s="568">
        <f t="shared" si="25"/>
        <v>0</v>
      </c>
    </row>
    <row r="271" spans="1:11" s="17" customFormat="1" ht="15.75" hidden="1">
      <c r="A271" s="279"/>
      <c r="B271" s="279"/>
      <c r="C271" s="279"/>
      <c r="D271" s="33"/>
      <c r="E271" s="46"/>
      <c r="F271" s="97"/>
      <c r="G271" s="1099">
        <f t="shared" si="23"/>
        <v>0</v>
      </c>
      <c r="H271" s="1099"/>
      <c r="I271" s="1099"/>
      <c r="J271" s="1099"/>
      <c r="K271" s="568">
        <f t="shared" si="25"/>
        <v>0</v>
      </c>
    </row>
    <row r="272" spans="1:11" s="17" customFormat="1" ht="15.75" hidden="1">
      <c r="A272" s="279"/>
      <c r="B272" s="279"/>
      <c r="C272" s="279"/>
      <c r="D272" s="33"/>
      <c r="E272" s="46"/>
      <c r="F272" s="97"/>
      <c r="G272" s="1099">
        <f t="shared" si="23"/>
        <v>0</v>
      </c>
      <c r="H272" s="1099"/>
      <c r="I272" s="1099"/>
      <c r="J272" s="1099"/>
      <c r="K272" s="568">
        <f t="shared" si="25"/>
        <v>0</v>
      </c>
    </row>
    <row r="273" spans="1:255" s="17" customFormat="1" ht="15.75" hidden="1">
      <c r="A273" s="279"/>
      <c r="B273" s="279"/>
      <c r="C273" s="279"/>
      <c r="D273" s="33"/>
      <c r="E273" s="46"/>
      <c r="F273" s="97"/>
      <c r="G273" s="1099">
        <f t="shared" si="23"/>
        <v>0</v>
      </c>
      <c r="H273" s="1099"/>
      <c r="I273" s="1099"/>
      <c r="J273" s="1099"/>
      <c r="K273" s="568">
        <f t="shared" si="25"/>
        <v>0</v>
      </c>
    </row>
    <row r="274" spans="1:255" s="17" customFormat="1" ht="15.75" hidden="1">
      <c r="A274" s="279"/>
      <c r="B274" s="279"/>
      <c r="C274" s="279"/>
      <c r="D274" s="33"/>
      <c r="E274" s="46"/>
      <c r="F274" s="97"/>
      <c r="G274" s="1099">
        <f t="shared" si="23"/>
        <v>0</v>
      </c>
      <c r="H274" s="1099"/>
      <c r="I274" s="1099"/>
      <c r="J274" s="1099"/>
      <c r="K274" s="568">
        <f t="shared" si="25"/>
        <v>0</v>
      </c>
    </row>
    <row r="275" spans="1:255" s="17" customFormat="1" ht="15.75" hidden="1">
      <c r="A275" s="279"/>
      <c r="B275" s="279"/>
      <c r="C275" s="279"/>
      <c r="D275" s="33"/>
      <c r="E275" s="46"/>
      <c r="F275" s="97"/>
      <c r="G275" s="1099">
        <f t="shared" si="23"/>
        <v>0</v>
      </c>
      <c r="H275" s="1099"/>
      <c r="I275" s="1099"/>
      <c r="J275" s="1099"/>
      <c r="K275" s="568">
        <f t="shared" si="25"/>
        <v>0</v>
      </c>
    </row>
    <row r="276" spans="1:255" s="17" customFormat="1" ht="15.75" hidden="1">
      <c r="A276" s="279"/>
      <c r="B276" s="279"/>
      <c r="C276" s="279"/>
      <c r="D276" s="33"/>
      <c r="E276" s="46"/>
      <c r="F276" s="97"/>
      <c r="G276" s="1099">
        <f t="shared" si="23"/>
        <v>0</v>
      </c>
      <c r="H276" s="1099"/>
      <c r="I276" s="1099"/>
      <c r="J276" s="1099"/>
      <c r="K276" s="568">
        <f t="shared" si="25"/>
        <v>0</v>
      </c>
    </row>
    <row r="277" spans="1:255" s="17" customFormat="1" ht="15.75" hidden="1">
      <c r="A277" s="279"/>
      <c r="B277" s="279"/>
      <c r="C277" s="279"/>
      <c r="D277" s="33"/>
      <c r="E277" s="46"/>
      <c r="F277" s="97"/>
      <c r="G277" s="1099">
        <f t="shared" si="23"/>
        <v>0</v>
      </c>
      <c r="H277" s="1099"/>
      <c r="I277" s="1099"/>
      <c r="J277" s="1099"/>
      <c r="K277" s="568">
        <f t="shared" si="25"/>
        <v>0</v>
      </c>
    </row>
    <row r="278" spans="1:255" ht="15.75">
      <c r="A278" s="287" t="s">
        <v>994</v>
      </c>
      <c r="B278" s="287" t="s">
        <v>994</v>
      </c>
      <c r="C278" s="287" t="s">
        <v>994</v>
      </c>
      <c r="D278" s="291" t="s">
        <v>1004</v>
      </c>
      <c r="E278" s="988" t="s">
        <v>994</v>
      </c>
      <c r="F278" s="989" t="s">
        <v>994</v>
      </c>
      <c r="G278" s="1246">
        <f>+G10+G23+G30+G49+G77+G127+G102+G221+G109+G200+G192+G153+G225+G205+G214</f>
        <v>1232812758.9000001</v>
      </c>
      <c r="H278" s="1246">
        <f>+H10+H23+H30+H49+H77+H127+H102+H221+H109+H200+H192+H153+H225+H205+H214</f>
        <v>216988693</v>
      </c>
      <c r="I278" s="1246">
        <f>+I10+I23+I30+I49+I77+I127+I102+I221+I109+I200+I192+I153+I225+I205+I214</f>
        <v>1015824065.9</v>
      </c>
      <c r="J278" s="1246">
        <f>+J10+J23+J30+J49+J77+J127+J102+J221+J109+J200+J192+J153+J225+J205+J214</f>
        <v>82142515</v>
      </c>
      <c r="K278" s="1543">
        <f t="shared" si="25"/>
        <v>1232812758.9000001</v>
      </c>
      <c r="L278" s="1543">
        <f>G278-H278-I278</f>
        <v>0</v>
      </c>
      <c r="M278" s="1543">
        <f>G278-I278-H278</f>
        <v>0</v>
      </c>
      <c r="N278" s="1448"/>
      <c r="O278" s="1448"/>
      <c r="P278" s="1448"/>
      <c r="Q278" s="1448"/>
      <c r="R278" s="1448"/>
      <c r="S278" s="1448"/>
      <c r="T278" s="1448"/>
      <c r="U278" s="1448"/>
      <c r="V278" s="1448"/>
      <c r="W278" s="1448"/>
      <c r="X278" s="1448"/>
      <c r="Y278" s="1448"/>
      <c r="Z278" s="1448"/>
      <c r="AA278" s="1448"/>
      <c r="AB278" s="1448"/>
      <c r="AC278" s="1448"/>
      <c r="AD278" s="1448"/>
      <c r="AE278" s="1448"/>
      <c r="AF278" s="1448"/>
      <c r="AG278" s="1448"/>
      <c r="AH278" s="1448"/>
      <c r="AI278" s="1448"/>
    </row>
    <row r="279" spans="1:255">
      <c r="H279" s="1148"/>
      <c r="I279" s="1148"/>
      <c r="J279" s="1148"/>
      <c r="K279" s="1543">
        <v>1</v>
      </c>
      <c r="L279" s="1448"/>
      <c r="M279" s="1543" t="e">
        <f>#REF!-I279-H279</f>
        <v>#REF!</v>
      </c>
      <c r="N279" s="1448"/>
      <c r="O279" s="1448"/>
      <c r="P279" s="1448"/>
      <c r="Q279" s="1448"/>
      <c r="R279" s="1448"/>
      <c r="S279" s="1448"/>
      <c r="T279" s="1448"/>
      <c r="U279" s="1448"/>
      <c r="V279" s="1448"/>
      <c r="W279" s="1448"/>
      <c r="X279" s="1448"/>
      <c r="Y279" s="1448"/>
      <c r="Z279" s="1448"/>
      <c r="AA279" s="1448"/>
      <c r="AB279" s="1448"/>
      <c r="AC279" s="1448"/>
      <c r="AD279" s="1448"/>
      <c r="AE279" s="1448"/>
      <c r="AF279" s="1448"/>
      <c r="AG279" s="1448"/>
      <c r="AH279" s="1448"/>
      <c r="AI279" s="1448"/>
    </row>
    <row r="280" spans="1:255">
      <c r="H280" s="1148"/>
      <c r="I280" s="1148"/>
      <c r="J280" s="1148"/>
      <c r="K280" s="1543">
        <v>1</v>
      </c>
      <c r="L280" s="1448"/>
      <c r="M280" s="1543" t="e">
        <f>#REF!-I280-H280</f>
        <v>#REF!</v>
      </c>
      <c r="N280" s="1448"/>
      <c r="O280" s="1448"/>
      <c r="P280" s="1448"/>
      <c r="Q280" s="1448"/>
      <c r="R280" s="1448"/>
      <c r="S280" s="1448"/>
      <c r="T280" s="1448"/>
      <c r="U280" s="1448"/>
      <c r="V280" s="1448"/>
      <c r="W280" s="1448"/>
      <c r="X280" s="1448"/>
      <c r="Y280" s="1448"/>
      <c r="Z280" s="1448"/>
      <c r="AA280" s="1448"/>
      <c r="AB280" s="1448"/>
      <c r="AC280" s="1448"/>
      <c r="AD280" s="1448"/>
      <c r="AE280" s="1448"/>
      <c r="AF280" s="1448"/>
      <c r="AG280" s="1448"/>
      <c r="AH280" s="1448"/>
      <c r="AI280" s="1448"/>
    </row>
    <row r="281" spans="1:255" ht="19.899999999999999" customHeight="1">
      <c r="A281" s="163" t="s">
        <v>211</v>
      </c>
      <c r="B281" s="167"/>
      <c r="C281" s="168"/>
      <c r="E281" s="7"/>
      <c r="F281" s="7"/>
      <c r="G281" s="7"/>
      <c r="H281" s="8"/>
      <c r="I281" s="163" t="s">
        <v>212</v>
      </c>
      <c r="J281" s="163"/>
      <c r="K281" s="1501">
        <v>1</v>
      </c>
      <c r="L281" s="1532"/>
      <c r="M281" s="1543" t="e">
        <f>#REF!-I281-H281</f>
        <v>#REF!</v>
      </c>
      <c r="N281" s="1440"/>
      <c r="O281" s="1440"/>
      <c r="P281" s="1440"/>
      <c r="Q281" s="1440"/>
      <c r="R281" s="1440"/>
      <c r="S281" s="1440"/>
      <c r="T281" s="1440"/>
      <c r="U281" s="1440"/>
      <c r="V281" s="1440"/>
      <c r="W281" s="1440"/>
      <c r="X281" s="1440"/>
      <c r="Y281" s="1440"/>
      <c r="Z281" s="1440"/>
      <c r="AA281" s="1440"/>
      <c r="AB281" s="1440"/>
      <c r="AC281" s="1440"/>
      <c r="AD281" s="1440"/>
      <c r="AE281" s="1440"/>
      <c r="AF281" s="1440"/>
      <c r="AG281" s="1440"/>
      <c r="AH281" s="1440"/>
      <c r="AI281" s="1440"/>
      <c r="AJ281" s="92"/>
      <c r="AK281" s="92"/>
      <c r="AL281" s="92"/>
      <c r="AM281" s="92"/>
      <c r="AN281" s="92"/>
      <c r="AO281" s="92"/>
      <c r="AP281" s="92"/>
      <c r="AQ281" s="92"/>
      <c r="AR281" s="92"/>
      <c r="AS281" s="92"/>
      <c r="AT281" s="92"/>
      <c r="AU281" s="92"/>
      <c r="AV281" s="92"/>
      <c r="AW281" s="92"/>
      <c r="AX281" s="92"/>
      <c r="AY281" s="92"/>
      <c r="AZ281" s="92"/>
      <c r="BA281" s="92"/>
      <c r="BB281" s="92"/>
      <c r="BC281" s="92"/>
      <c r="BD281" s="92"/>
      <c r="BE281" s="92"/>
      <c r="BF281" s="92"/>
      <c r="BG281" s="92"/>
      <c r="BH281" s="92"/>
      <c r="BI281" s="92"/>
      <c r="BJ281" s="92"/>
      <c r="BK281" s="92"/>
      <c r="BL281" s="92"/>
      <c r="BM281" s="92"/>
      <c r="BN281" s="92"/>
      <c r="BO281" s="92"/>
      <c r="BP281" s="92"/>
      <c r="BQ281" s="92"/>
      <c r="BR281" s="92"/>
      <c r="BS281" s="92"/>
      <c r="BT281" s="92"/>
      <c r="BU281" s="92"/>
      <c r="BV281" s="92"/>
      <c r="BW281" s="92"/>
      <c r="BX281" s="92"/>
      <c r="BY281" s="92"/>
      <c r="BZ281" s="92"/>
      <c r="CA281" s="92"/>
      <c r="CB281" s="92"/>
      <c r="CC281" s="92"/>
      <c r="CD281" s="92"/>
      <c r="CE281" s="92"/>
      <c r="CF281" s="92"/>
      <c r="CG281" s="92"/>
      <c r="CH281" s="92"/>
      <c r="CI281" s="92"/>
      <c r="CJ281" s="92"/>
      <c r="CK281" s="92"/>
      <c r="CL281" s="92"/>
      <c r="CM281" s="92"/>
      <c r="CN281" s="92"/>
      <c r="CO281" s="92"/>
      <c r="CP281" s="92"/>
      <c r="CQ281" s="92"/>
      <c r="CR281" s="92"/>
      <c r="CS281" s="92"/>
      <c r="CT281" s="92"/>
      <c r="CU281" s="92"/>
      <c r="CV281" s="92"/>
      <c r="CW281" s="92"/>
      <c r="CX281" s="92"/>
      <c r="CY281" s="92"/>
      <c r="CZ281" s="92"/>
      <c r="DA281" s="92"/>
      <c r="DB281" s="92"/>
      <c r="DC281" s="92"/>
      <c r="DD281" s="92"/>
      <c r="DE281" s="92"/>
      <c r="DF281" s="92"/>
      <c r="DG281" s="92"/>
      <c r="DH281" s="92"/>
      <c r="DI281" s="92"/>
      <c r="DJ281" s="92"/>
      <c r="DK281" s="92"/>
      <c r="DL281" s="92"/>
      <c r="DM281" s="92"/>
      <c r="DN281" s="92"/>
      <c r="DO281" s="92"/>
      <c r="DP281" s="92"/>
      <c r="DQ281" s="92"/>
      <c r="DR281" s="92"/>
      <c r="DS281" s="92"/>
      <c r="DT281" s="92"/>
      <c r="DU281" s="92"/>
      <c r="DV281" s="92"/>
      <c r="DW281" s="92"/>
      <c r="DX281" s="92"/>
      <c r="DY281" s="92"/>
      <c r="DZ281" s="92"/>
      <c r="EA281" s="92"/>
      <c r="EB281" s="92"/>
      <c r="EC281" s="92"/>
      <c r="ED281" s="92"/>
      <c r="EE281" s="92"/>
      <c r="EF281" s="92"/>
      <c r="EG281" s="92"/>
      <c r="EH281" s="92"/>
      <c r="EI281" s="92"/>
      <c r="EJ281" s="92"/>
      <c r="EK281" s="92"/>
      <c r="EL281" s="92"/>
      <c r="EM281" s="92"/>
      <c r="EN281" s="92"/>
      <c r="EO281" s="92"/>
      <c r="EP281" s="92"/>
      <c r="EQ281" s="92"/>
      <c r="ER281" s="92"/>
      <c r="ES281" s="92"/>
      <c r="ET281" s="92"/>
      <c r="EU281" s="92"/>
      <c r="EV281" s="92"/>
      <c r="EW281" s="92"/>
      <c r="EX281" s="92"/>
      <c r="EY281" s="92"/>
      <c r="EZ281" s="92"/>
      <c r="FA281" s="92"/>
      <c r="FB281" s="92"/>
      <c r="FC281" s="92"/>
      <c r="FD281" s="92"/>
      <c r="FE281" s="92"/>
      <c r="FF281" s="92"/>
      <c r="FG281" s="92"/>
      <c r="FH281" s="92"/>
      <c r="FI281" s="92"/>
      <c r="FJ281" s="92"/>
      <c r="FK281" s="92"/>
      <c r="FL281" s="92"/>
      <c r="FM281" s="92"/>
      <c r="FN281" s="92"/>
      <c r="FO281" s="92"/>
      <c r="FP281" s="92"/>
      <c r="FQ281" s="92"/>
      <c r="FR281" s="92"/>
      <c r="FS281" s="92"/>
      <c r="FT281" s="92"/>
      <c r="FU281" s="92"/>
      <c r="FV281" s="92"/>
      <c r="FW281" s="92"/>
      <c r="FX281" s="92"/>
      <c r="FY281" s="92"/>
      <c r="FZ281" s="92"/>
      <c r="GA281" s="92"/>
      <c r="GB281" s="92"/>
      <c r="GC281" s="92"/>
      <c r="GD281" s="92"/>
      <c r="GE281" s="92"/>
      <c r="GF281" s="92"/>
      <c r="GG281" s="92"/>
      <c r="GH281" s="92"/>
      <c r="GI281" s="92"/>
      <c r="GJ281" s="92"/>
      <c r="GK281" s="92"/>
      <c r="GL281" s="92"/>
      <c r="GM281" s="92"/>
      <c r="GN281" s="92"/>
      <c r="GO281" s="92"/>
      <c r="GP281" s="92"/>
      <c r="GQ281" s="92"/>
      <c r="GR281" s="92"/>
      <c r="GS281" s="92"/>
      <c r="GT281" s="92"/>
      <c r="GU281" s="92"/>
      <c r="GV281" s="92"/>
      <c r="GW281" s="92"/>
      <c r="GX281" s="92"/>
      <c r="GY281" s="92"/>
      <c r="GZ281" s="92"/>
      <c r="HA281" s="92"/>
      <c r="HB281" s="92"/>
      <c r="HC281" s="92"/>
      <c r="HD281" s="92"/>
      <c r="HE281" s="92"/>
      <c r="HF281" s="92"/>
      <c r="HG281" s="92"/>
      <c r="HH281" s="92"/>
      <c r="HI281" s="92"/>
      <c r="HJ281" s="92"/>
      <c r="HK281" s="92"/>
      <c r="HL281" s="92"/>
      <c r="HM281" s="92"/>
      <c r="HN281" s="92"/>
      <c r="HO281" s="92"/>
      <c r="HP281" s="92"/>
      <c r="HQ281" s="92"/>
      <c r="HR281" s="92"/>
      <c r="HS281" s="92"/>
      <c r="HT281" s="92"/>
      <c r="HU281" s="92"/>
      <c r="HV281" s="92"/>
      <c r="HW281" s="92"/>
      <c r="HX281" s="92"/>
      <c r="HY281" s="92"/>
      <c r="HZ281" s="92"/>
      <c r="IA281" s="92"/>
      <c r="IB281" s="92"/>
      <c r="IC281" s="92"/>
      <c r="ID281" s="92"/>
      <c r="IE281" s="92"/>
      <c r="IF281" s="92"/>
      <c r="IG281" s="92"/>
      <c r="IH281" s="92"/>
      <c r="II281" s="92"/>
      <c r="IJ281" s="92"/>
      <c r="IK281" s="92"/>
      <c r="IL281" s="92"/>
      <c r="IM281" s="92"/>
      <c r="IN281" s="92"/>
      <c r="IO281" s="92"/>
      <c r="IP281" s="92"/>
      <c r="IQ281" s="92"/>
      <c r="IR281" s="92"/>
      <c r="IS281" s="92"/>
      <c r="IT281" s="92"/>
      <c r="IU281" s="92"/>
    </row>
    <row r="282" spans="1:255">
      <c r="H282" s="1148"/>
      <c r="I282" s="1148"/>
      <c r="J282" s="1148"/>
      <c r="K282" s="1547">
        <v>1</v>
      </c>
      <c r="L282" s="1448"/>
      <c r="M282" s="1543" t="e">
        <f>#REF!-I282-H282</f>
        <v>#REF!</v>
      </c>
      <c r="N282" s="1448"/>
      <c r="O282" s="1448"/>
      <c r="P282" s="1448"/>
      <c r="Q282" s="1448"/>
      <c r="R282" s="1448"/>
      <c r="S282" s="1448"/>
      <c r="T282" s="1448"/>
      <c r="U282" s="1448"/>
      <c r="V282" s="1448"/>
      <c r="W282" s="1448"/>
      <c r="X282" s="1448"/>
      <c r="Y282" s="1448"/>
      <c r="Z282" s="1448"/>
      <c r="AA282" s="1448"/>
      <c r="AB282" s="1448"/>
      <c r="AC282" s="1448"/>
      <c r="AD282" s="1448"/>
      <c r="AE282" s="1448"/>
      <c r="AF282" s="1448"/>
      <c r="AG282" s="1448"/>
      <c r="AH282" s="1448"/>
      <c r="AI282" s="1448"/>
    </row>
    <row r="283" spans="1:255">
      <c r="H283" s="1148"/>
      <c r="I283" s="1148"/>
      <c r="J283" s="1148"/>
      <c r="K283" s="1547">
        <v>1</v>
      </c>
      <c r="L283" s="1448"/>
      <c r="M283" s="1543" t="e">
        <f>#REF!-I283-H283</f>
        <v>#REF!</v>
      </c>
      <c r="N283" s="1448"/>
      <c r="O283" s="1448"/>
      <c r="P283" s="1448"/>
      <c r="Q283" s="1448"/>
      <c r="R283" s="1448"/>
      <c r="S283" s="1448"/>
      <c r="T283" s="1448"/>
      <c r="U283" s="1448"/>
      <c r="V283" s="1448"/>
      <c r="W283" s="1448"/>
      <c r="X283" s="1448"/>
      <c r="Y283" s="1448"/>
      <c r="Z283" s="1448"/>
      <c r="AA283" s="1448"/>
      <c r="AB283" s="1448"/>
      <c r="AC283" s="1448"/>
      <c r="AD283" s="1448"/>
      <c r="AE283" s="1448"/>
      <c r="AF283" s="1448"/>
      <c r="AG283" s="1448"/>
      <c r="AH283" s="1448"/>
      <c r="AI283" s="1448"/>
    </row>
    <row r="284" spans="1:255" s="17" customFormat="1" hidden="1">
      <c r="H284" s="23"/>
      <c r="I284" s="23"/>
      <c r="J284" s="1109">
        <f>H278+I278-G278</f>
        <v>0</v>
      </c>
    </row>
    <row r="285" spans="1:255" s="17" customFormat="1" hidden="1">
      <c r="H285" s="23"/>
      <c r="I285" s="23"/>
      <c r="J285" s="23"/>
    </row>
    <row r="286" spans="1:255" s="17" customFormat="1" hidden="1">
      <c r="H286" s="23"/>
      <c r="I286" s="23"/>
      <c r="J286" s="23"/>
    </row>
    <row r="287" spans="1:255" s="17" customFormat="1" hidden="1">
      <c r="G287" s="17">
        <v>1048721470</v>
      </c>
      <c r="H287" s="23">
        <v>193128670</v>
      </c>
      <c r="I287" s="23">
        <v>852232800</v>
      </c>
      <c r="J287" s="23">
        <v>70031000</v>
      </c>
    </row>
    <row r="288" spans="1:255" s="17" customFormat="1" hidden="1">
      <c r="G288" s="83">
        <f>G278-G287</f>
        <v>184091288.9000001</v>
      </c>
      <c r="H288" s="83">
        <f>H278-H287</f>
        <v>23860023</v>
      </c>
      <c r="I288" s="83">
        <f>I278-I287</f>
        <v>163591265.89999998</v>
      </c>
      <c r="J288" s="83">
        <f>J278-J287</f>
        <v>12111515</v>
      </c>
    </row>
    <row r="289" spans="8:10" s="17" customFormat="1" hidden="1">
      <c r="H289" s="23"/>
      <c r="I289" s="23"/>
      <c r="J289" s="23"/>
    </row>
    <row r="290" spans="8:10" s="17" customFormat="1" hidden="1">
      <c r="H290" s="23"/>
      <c r="I290" s="23"/>
      <c r="J290" s="23"/>
    </row>
    <row r="291" spans="8:10" s="17" customFormat="1" hidden="1">
      <c r="H291" s="23"/>
      <c r="I291" s="23"/>
      <c r="J291" s="23"/>
    </row>
    <row r="292" spans="8:10" s="17" customFormat="1" hidden="1">
      <c r="H292" s="23"/>
      <c r="I292" s="23"/>
      <c r="J292" s="23"/>
    </row>
    <row r="293" spans="8:10" s="17" customFormat="1" hidden="1">
      <c r="H293" s="23"/>
      <c r="I293" s="23"/>
      <c r="J293" s="23"/>
    </row>
    <row r="294" spans="8:10" s="17" customFormat="1" hidden="1">
      <c r="H294" s="23"/>
      <c r="I294" s="23"/>
      <c r="J294" s="23"/>
    </row>
    <row r="295" spans="8:10" s="17" customFormat="1" hidden="1">
      <c r="H295" s="23"/>
      <c r="I295" s="23"/>
      <c r="J295" s="23"/>
    </row>
    <row r="296" spans="8:10" s="17" customFormat="1" hidden="1">
      <c r="H296" s="23"/>
      <c r="I296" s="23"/>
      <c r="J296" s="23"/>
    </row>
    <row r="297" spans="8:10" s="17" customFormat="1" hidden="1">
      <c r="H297" s="23"/>
      <c r="I297" s="23"/>
      <c r="J297" s="23"/>
    </row>
    <row r="298" spans="8:10" s="17" customFormat="1" hidden="1">
      <c r="H298" s="23"/>
      <c r="I298" s="23"/>
      <c r="J298" s="23"/>
    </row>
    <row r="299" spans="8:10" s="17" customFormat="1" hidden="1">
      <c r="H299" s="23"/>
      <c r="I299" s="23"/>
      <c r="J299" s="23"/>
    </row>
    <row r="300" spans="8:10" s="17" customFormat="1" hidden="1">
      <c r="H300" s="23"/>
      <c r="I300" s="23"/>
      <c r="J300" s="23"/>
    </row>
    <row r="301" spans="8:10" s="17" customFormat="1" hidden="1">
      <c r="H301" s="23"/>
      <c r="I301" s="23"/>
      <c r="J301" s="23"/>
    </row>
    <row r="302" spans="8:10" s="17" customFormat="1" hidden="1">
      <c r="H302" s="23"/>
      <c r="I302" s="23"/>
      <c r="J302" s="23"/>
    </row>
    <row r="303" spans="8:10" s="17" customFormat="1" hidden="1">
      <c r="H303" s="23"/>
      <c r="I303" s="23"/>
      <c r="J303" s="23"/>
    </row>
    <row r="304" spans="8:10" s="17" customFormat="1" hidden="1">
      <c r="H304" s="23"/>
      <c r="I304" s="23"/>
      <c r="J304" s="23"/>
    </row>
    <row r="305" spans="8:10" s="17" customFormat="1" hidden="1">
      <c r="H305" s="23"/>
      <c r="I305" s="23"/>
      <c r="J305" s="23"/>
    </row>
    <row r="306" spans="8:10" s="17" customFormat="1" hidden="1">
      <c r="H306" s="23"/>
      <c r="I306" s="23"/>
      <c r="J306" s="23"/>
    </row>
    <row r="307" spans="8:10" s="17" customFormat="1" hidden="1">
      <c r="H307" s="23"/>
      <c r="I307" s="23"/>
      <c r="J307" s="23"/>
    </row>
    <row r="308" spans="8:10" s="17" customFormat="1" hidden="1">
      <c r="H308" s="23"/>
      <c r="I308" s="23"/>
      <c r="J308" s="23"/>
    </row>
    <row r="309" spans="8:10" s="17" customFormat="1" hidden="1">
      <c r="H309" s="23"/>
      <c r="I309" s="23"/>
      <c r="J309" s="23"/>
    </row>
    <row r="310" spans="8:10" s="17" customFormat="1" hidden="1">
      <c r="H310" s="23"/>
      <c r="I310" s="23"/>
      <c r="J310" s="23"/>
    </row>
    <row r="311" spans="8:10" s="17" customFormat="1" hidden="1">
      <c r="H311" s="23"/>
      <c r="I311" s="23"/>
      <c r="J311" s="23"/>
    </row>
    <row r="312" spans="8:10" s="17" customFormat="1" hidden="1">
      <c r="H312" s="23"/>
      <c r="I312" s="23"/>
      <c r="J312" s="23"/>
    </row>
    <row r="313" spans="8:10" s="17" customFormat="1" hidden="1">
      <c r="H313" s="23"/>
      <c r="I313" s="23"/>
      <c r="J313" s="23"/>
    </row>
    <row r="314" spans="8:10" s="17" customFormat="1" hidden="1">
      <c r="H314" s="23"/>
      <c r="I314" s="23"/>
      <c r="J314" s="23"/>
    </row>
    <row r="315" spans="8:10" s="17" customFormat="1" hidden="1">
      <c r="H315" s="23"/>
      <c r="I315" s="23"/>
      <c r="J315" s="23"/>
    </row>
    <row r="316" spans="8:10" s="17" customFormat="1" hidden="1">
      <c r="H316" s="23"/>
      <c r="I316" s="23"/>
      <c r="J316" s="23"/>
    </row>
    <row r="317" spans="8:10" s="17" customFormat="1" hidden="1">
      <c r="H317" s="23"/>
      <c r="I317" s="23"/>
      <c r="J317" s="23"/>
    </row>
    <row r="318" spans="8:10" s="17" customFormat="1" hidden="1">
      <c r="H318" s="23"/>
      <c r="I318" s="23"/>
      <c r="J318" s="23"/>
    </row>
    <row r="319" spans="8:10" s="17" customFormat="1" hidden="1">
      <c r="H319" s="23"/>
      <c r="I319" s="23"/>
      <c r="J319" s="23"/>
    </row>
    <row r="320" spans="8:10" s="17" customFormat="1" hidden="1">
      <c r="H320" s="23"/>
      <c r="I320" s="23"/>
      <c r="J320" s="23"/>
    </row>
    <row r="321" spans="8:10" s="17" customFormat="1" hidden="1">
      <c r="H321" s="23"/>
      <c r="I321" s="23"/>
      <c r="J321" s="23"/>
    </row>
    <row r="322" spans="8:10" s="17" customFormat="1" hidden="1">
      <c r="H322" s="23"/>
      <c r="I322" s="23"/>
      <c r="J322" s="23"/>
    </row>
    <row r="323" spans="8:10" s="17" customFormat="1" hidden="1">
      <c r="H323" s="23"/>
      <c r="I323" s="23"/>
      <c r="J323" s="23"/>
    </row>
    <row r="324" spans="8:10" s="17" customFormat="1" hidden="1">
      <c r="H324" s="23"/>
      <c r="I324" s="23"/>
      <c r="J324" s="23"/>
    </row>
    <row r="325" spans="8:10" s="17" customFormat="1" hidden="1">
      <c r="H325" s="23"/>
      <c r="I325" s="23"/>
      <c r="J325" s="23"/>
    </row>
    <row r="326" spans="8:10" s="17" customFormat="1" hidden="1">
      <c r="H326" s="23"/>
      <c r="I326" s="23"/>
      <c r="J326" s="23"/>
    </row>
    <row r="327" spans="8:10" s="17" customFormat="1" hidden="1">
      <c r="H327" s="23"/>
      <c r="I327" s="23"/>
      <c r="J327" s="23"/>
    </row>
    <row r="328" spans="8:10" s="17" customFormat="1" hidden="1">
      <c r="H328" s="23"/>
      <c r="I328" s="23"/>
      <c r="J328" s="23"/>
    </row>
    <row r="329" spans="8:10" s="17" customFormat="1" hidden="1">
      <c r="H329" s="23"/>
      <c r="I329" s="23"/>
      <c r="J329" s="23"/>
    </row>
    <row r="330" spans="8:10" s="17" customFormat="1" hidden="1">
      <c r="H330" s="23"/>
      <c r="I330" s="23"/>
      <c r="J330" s="23"/>
    </row>
    <row r="331" spans="8:10" s="17" customFormat="1" hidden="1">
      <c r="H331" s="23"/>
      <c r="I331" s="23"/>
      <c r="J331" s="23"/>
    </row>
    <row r="332" spans="8:10" s="17" customFormat="1" hidden="1">
      <c r="H332" s="23"/>
      <c r="I332" s="23"/>
      <c r="J332" s="23"/>
    </row>
    <row r="333" spans="8:10" s="17" customFormat="1" hidden="1">
      <c r="H333" s="23"/>
      <c r="I333" s="23"/>
      <c r="J333" s="23"/>
    </row>
    <row r="334" spans="8:10" s="17" customFormat="1" hidden="1">
      <c r="H334" s="23"/>
      <c r="I334" s="23"/>
      <c r="J334" s="23"/>
    </row>
    <row r="335" spans="8:10" s="17" customFormat="1" hidden="1">
      <c r="H335" s="23"/>
      <c r="I335" s="23"/>
      <c r="J335" s="23"/>
    </row>
    <row r="336" spans="8:10" s="17" customFormat="1" hidden="1">
      <c r="H336" s="23"/>
      <c r="I336" s="23"/>
      <c r="J336" s="23"/>
    </row>
    <row r="337" spans="5:11" s="17" customFormat="1" hidden="1">
      <c r="H337" s="23"/>
      <c r="I337" s="23"/>
      <c r="J337" s="23"/>
    </row>
    <row r="338" spans="5:11" s="17" customFormat="1" hidden="1">
      <c r="H338" s="23"/>
      <c r="I338" s="23"/>
      <c r="J338" s="23"/>
    </row>
    <row r="339" spans="5:11" s="17" customFormat="1" hidden="1">
      <c r="H339" s="23"/>
      <c r="I339" s="23"/>
      <c r="J339" s="23"/>
    </row>
    <row r="340" spans="5:11" s="17" customFormat="1" hidden="1">
      <c r="H340" s="23"/>
      <c r="I340" s="23"/>
      <c r="J340" s="23"/>
    </row>
    <row r="341" spans="5:11" s="17" customFormat="1" hidden="1"/>
    <row r="342" spans="5:11" s="17" customFormat="1" ht="15" hidden="1">
      <c r="E342" s="305" t="s">
        <v>94</v>
      </c>
      <c r="F342" s="305"/>
      <c r="G342" s="305"/>
      <c r="H342" s="483">
        <f>H11+H24+H31+H50+H78+H103+H110+H128+H154+H193+H201+H206+H215+H222+H226</f>
        <v>216988693</v>
      </c>
      <c r="I342" s="483">
        <f>I11+I24+I31+I50+I78+I103+I110+I128+I154+I193+I201+I206+I215+I222+I226</f>
        <v>1015824065.9</v>
      </c>
      <c r="J342" s="483"/>
    </row>
    <row r="343" spans="5:11" s="522" customFormat="1" ht="25.5" hidden="1">
      <c r="H343" s="523">
        <f>H342-H278</f>
        <v>0</v>
      </c>
      <c r="I343" s="739">
        <f>I342-I278</f>
        <v>0</v>
      </c>
      <c r="J343" s="739"/>
    </row>
    <row r="344" spans="5:11" s="17" customFormat="1" hidden="1"/>
    <row r="345" spans="5:11" s="17" customFormat="1" hidden="1"/>
    <row r="346" spans="5:11" s="17" customFormat="1" hidden="1"/>
    <row r="347" spans="5:11" s="17" customFormat="1"/>
    <row r="348" spans="5:11" s="17" customFormat="1"/>
    <row r="349" spans="5:11" s="17" customFormat="1"/>
    <row r="350" spans="5:11" s="17" customFormat="1">
      <c r="H350" s="83"/>
      <c r="I350" s="83"/>
      <c r="J350" s="83"/>
      <c r="K350" s="83"/>
    </row>
    <row r="351" spans="5:11" s="17" customFormat="1" ht="18.75">
      <c r="H351" s="509"/>
      <c r="I351" s="509"/>
      <c r="J351" s="509"/>
      <c r="K351" s="83"/>
    </row>
    <row r="352" spans="5:11" s="17" customFormat="1">
      <c r="J352" s="83"/>
    </row>
  </sheetData>
  <autoFilter ref="A1:L346">
    <filterColumn colId="10">
      <customFilters and="1">
        <customFilter operator="greaterThan" val="0"/>
      </customFilters>
    </filterColumn>
  </autoFilter>
  <mergeCells count="51">
    <mergeCell ref="H4:I4"/>
    <mergeCell ref="E7:E8"/>
    <mergeCell ref="H7:H8"/>
    <mergeCell ref="I7:J7"/>
    <mergeCell ref="A5:J5"/>
    <mergeCell ref="G7:G8"/>
    <mergeCell ref="A19:A21"/>
    <mergeCell ref="B19:B21"/>
    <mergeCell ref="D7:D8"/>
    <mergeCell ref="B7:B8"/>
    <mergeCell ref="C7:C8"/>
    <mergeCell ref="A7:A8"/>
    <mergeCell ref="A129:A130"/>
    <mergeCell ref="B129:B130"/>
    <mergeCell ref="F7:F8"/>
    <mergeCell ref="D63:D64"/>
    <mergeCell ref="D28:D29"/>
    <mergeCell ref="C19:C21"/>
    <mergeCell ref="A54:A56"/>
    <mergeCell ref="B54:B56"/>
    <mergeCell ref="C54:C56"/>
    <mergeCell ref="B28:B29"/>
    <mergeCell ref="A179:A180"/>
    <mergeCell ref="B179:B180"/>
    <mergeCell ref="C179:C180"/>
    <mergeCell ref="D179:D180"/>
    <mergeCell ref="A119:A121"/>
    <mergeCell ref="D26:D27"/>
    <mergeCell ref="D129:D130"/>
    <mergeCell ref="A97:A98"/>
    <mergeCell ref="B97:B98"/>
    <mergeCell ref="C97:C98"/>
    <mergeCell ref="A70:A71"/>
    <mergeCell ref="B70:B71"/>
    <mergeCell ref="A28:A29"/>
    <mergeCell ref="A63:A64"/>
    <mergeCell ref="B63:B64"/>
    <mergeCell ref="D19:D21"/>
    <mergeCell ref="A26:A27"/>
    <mergeCell ref="B26:B27"/>
    <mergeCell ref="D54:D56"/>
    <mergeCell ref="C26:C27"/>
    <mergeCell ref="C63:C64"/>
    <mergeCell ref="C129:C130"/>
    <mergeCell ref="C28:C29"/>
    <mergeCell ref="C70:C71"/>
    <mergeCell ref="D70:D71"/>
    <mergeCell ref="B119:B121"/>
    <mergeCell ref="D97:D98"/>
    <mergeCell ref="C119:C121"/>
    <mergeCell ref="D119:D121"/>
  </mergeCells>
  <phoneticPr fontId="0" type="noConversion"/>
  <printOptions horizontalCentered="1"/>
  <pageMargins left="0.26" right="0" top="0.46" bottom="0.43" header="0.17" footer="0.15748031496062992"/>
  <pageSetup paperSize="9" scale="4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22</vt:i4>
      </vt:variant>
    </vt:vector>
  </HeadingPairs>
  <TitlesOfParts>
    <vt:vector size="33" baseType="lpstr">
      <vt:lpstr>дод1</vt:lpstr>
      <vt:lpstr>дод1.1</vt:lpstr>
      <vt:lpstr>дод 1.2</vt:lpstr>
      <vt:lpstr>дод1.3</vt:lpstr>
      <vt:lpstr>дод2</vt:lpstr>
      <vt:lpstr>дод3</vt:lpstr>
      <vt:lpstr>дод5</vt:lpstr>
      <vt:lpstr> дод 5_1</vt:lpstr>
      <vt:lpstr>дод5.3</vt:lpstr>
      <vt:lpstr>дод6</vt:lpstr>
      <vt:lpstr>дод7</vt:lpstr>
      <vt:lpstr>' дод 5_1'!Заголовки_для_печати</vt:lpstr>
      <vt:lpstr>'дод 1.2'!Заголовки_для_печати</vt:lpstr>
      <vt:lpstr>дод1!Заголовки_для_печати</vt:lpstr>
      <vt:lpstr>дод1.1!Заголовки_для_печати</vt:lpstr>
      <vt:lpstr>дод1.3!Заголовки_для_печати</vt:lpstr>
      <vt:lpstr>дод2!Заголовки_для_печати</vt:lpstr>
      <vt:lpstr>дод3!Заголовки_для_печати</vt:lpstr>
      <vt:lpstr>дод5!Заголовки_для_печати</vt:lpstr>
      <vt:lpstr>дод5.3!Заголовки_для_печати</vt:lpstr>
      <vt:lpstr>дод6!Заголовки_для_печати</vt:lpstr>
      <vt:lpstr>дод7!Заголовки_для_печати</vt:lpstr>
      <vt:lpstr>' дод 5_1'!Область_печати</vt:lpstr>
      <vt:lpstr>'дод 1.2'!Область_печати</vt:lpstr>
      <vt:lpstr>дод1!Область_печати</vt:lpstr>
      <vt:lpstr>дод1.1!Область_печати</vt:lpstr>
      <vt:lpstr>дод1.3!Область_печати</vt:lpstr>
      <vt:lpstr>дод2!Область_печати</vt:lpstr>
      <vt:lpstr>дод3!Область_печати</vt:lpstr>
      <vt:lpstr>дод5!Область_печати</vt:lpstr>
      <vt:lpstr>дод5.3!Область_печати</vt:lpstr>
      <vt:lpstr>дод6!Область_печати</vt:lpstr>
      <vt:lpstr>дод7!Область_печати</vt:lpstr>
    </vt:vector>
  </TitlesOfParts>
  <Company>Минфин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бюжетний відділ</dc:creator>
  <cp:lastModifiedBy>Анатолий Цюпа</cp:lastModifiedBy>
  <cp:lastPrinted>2019-07-10T12:11:33Z</cp:lastPrinted>
  <dcterms:created xsi:type="dcterms:W3CDTF">2000-03-27T15:08:06Z</dcterms:created>
  <dcterms:modified xsi:type="dcterms:W3CDTF">2019-07-11T15:06:59Z</dcterms:modified>
</cp:coreProperties>
</file>